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85" windowHeight="48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<sst xmlns="http://schemas.openxmlformats.org/spreadsheetml/2006/main" count="126" uniqueCount="49">
  <si>
    <t>ANPASSUNGEN UND ERWEITERUNG ZU PROGRAMM TREND SS (Teil Statistik)</t>
  </si>
  <si>
    <t>Erläuterungen dazu siehe auch unter:</t>
  </si>
  <si>
    <t>VERTEILUNG DER SUMMENWERTE / UNTERSCHREITUNGSHÄUFIGKEIT</t>
  </si>
  <si>
    <t>BEI BEGRENZTER BANDBREITE :      - ∞ ≤ x min und / oder x max ≤ + ∞</t>
  </si>
  <si>
    <t>Konstantentherm (A) =</t>
  </si>
  <si>
    <t>Regressionskoeffizient (B) =</t>
  </si>
  <si>
    <t>Korrelationskoeffizient (r)  =</t>
  </si>
  <si>
    <t>arithm. Mittel (xap) =</t>
  </si>
  <si>
    <t>Modus (xs) =</t>
  </si>
  <si>
    <t xml:space="preserve">Zentralwert (x50) = </t>
  </si>
  <si>
    <t>Mindestwert (xmin) =</t>
  </si>
  <si>
    <t>Maximalwert (xmax) =</t>
  </si>
  <si>
    <t xml:space="preserve">    (informativ, unveränderlich)</t>
  </si>
  <si>
    <t>GESUCHTE KENNWERTE</t>
  </si>
  <si>
    <t>α</t>
  </si>
  <si>
    <t>β</t>
  </si>
  <si>
    <t>γ</t>
  </si>
  <si>
    <t>Σi (%)</t>
  </si>
  <si>
    <t>xi</t>
  </si>
  <si>
    <t>wenn Σi (%)  =</t>
  </si>
  <si>
    <t>dann folgt xi =</t>
  </si>
  <si>
    <t>wenn  xi  =</t>
  </si>
  <si>
    <t>dann folgt Σi (%) =</t>
  </si>
  <si>
    <t>Zentralwert (x50) =</t>
  </si>
  <si>
    <t>Vergleich Modus (xs) =</t>
  </si>
  <si>
    <t>Vergleich arithm. Mittel (xap) =</t>
  </si>
  <si>
    <t>HILFSWERTE (AUTOMATISCH)</t>
  </si>
  <si>
    <t>Die gelben Felder erfordern eine Eingabe!</t>
  </si>
  <si>
    <t xml:space="preserve">    (veränderlich, siehe Feld G39)</t>
  </si>
  <si>
    <t>KENNWERTE AUS ÜBERTRAG:</t>
  </si>
  <si>
    <t>BEGRENZUNGEN:</t>
  </si>
  <si>
    <t xml:space="preserve">   (Bedingung: xmin &lt; xi &lt; xmax)</t>
  </si>
  <si>
    <t>βi</t>
  </si>
  <si>
    <r>
      <t xml:space="preserve">  </t>
    </r>
    <r>
      <rPr>
        <b/>
        <sz val="10"/>
        <rFont val="Arial"/>
        <family val="2"/>
      </rPr>
      <t>* Bedingung:  xmin ≥ (xs - 10*s') =</t>
    </r>
  </si>
  <si>
    <r>
      <t xml:space="preserve">  </t>
    </r>
    <r>
      <rPr>
        <b/>
        <sz val="10"/>
        <rFont val="Arial"/>
        <family val="2"/>
      </rPr>
      <t>* Bedingung: xmax ≤ xs + 10*s') =</t>
    </r>
  </si>
  <si>
    <t xml:space="preserve">    (als Kontrollwert zu Feld G23 u.G25, unveränderlich)</t>
  </si>
  <si>
    <t xml:space="preserve">      INDIVIDUELLE ABFRAGEN</t>
  </si>
  <si>
    <r>
      <t>TABELLE 1:</t>
    </r>
    <r>
      <rPr>
        <b/>
        <sz val="10"/>
        <rFont val="Arial"/>
        <family val="2"/>
      </rPr>
      <t xml:space="preserve"> FÜR BANDBREITE MIT xmin ≥ - ∞ und xmax </t>
    </r>
    <r>
      <rPr>
        <b/>
        <sz val="10"/>
        <rFont val="Arial"/>
        <family val="0"/>
      </rPr>
      <t>≤</t>
    </r>
    <r>
      <rPr>
        <b/>
        <sz val="10"/>
        <rFont val="Arial"/>
        <family val="2"/>
      </rPr>
      <t xml:space="preserve"> + ∞  &gt;&gt;&gt;&gt; VERTEILUNGSDICHTE </t>
    </r>
    <r>
      <rPr>
        <b/>
        <sz val="10"/>
        <color indexed="10"/>
        <rFont val="Arial"/>
        <family val="2"/>
      </rPr>
      <t>SYMMETRISCH</t>
    </r>
  </si>
  <si>
    <r>
      <t>TABELLE 2:</t>
    </r>
    <r>
      <rPr>
        <b/>
        <sz val="10"/>
        <rFont val="Arial"/>
        <family val="2"/>
      </rPr>
      <t xml:space="preserve"> FÜR BANDBREITE MIT xmin ≥ - ∞ und xmax </t>
    </r>
    <r>
      <rPr>
        <b/>
        <sz val="10"/>
        <rFont val="Arial"/>
        <family val="0"/>
      </rPr>
      <t>≤</t>
    </r>
    <r>
      <rPr>
        <b/>
        <sz val="10"/>
        <rFont val="Arial"/>
        <family val="2"/>
      </rPr>
      <t xml:space="preserve"> + ∞  &gt;&gt;&gt;&gt; VERTEILUNGSDICHTE </t>
    </r>
    <r>
      <rPr>
        <b/>
        <sz val="10"/>
        <color indexed="10"/>
        <rFont val="Arial"/>
        <family val="2"/>
      </rPr>
      <t>RECHTSSCHIEF</t>
    </r>
  </si>
  <si>
    <r>
      <t>TABELLE 3:</t>
    </r>
    <r>
      <rPr>
        <b/>
        <sz val="10"/>
        <rFont val="Arial"/>
        <family val="2"/>
      </rPr>
      <t xml:space="preserve"> FÜR BANDBREITE MIT xmin ≥ - ∞ und xmax </t>
    </r>
    <r>
      <rPr>
        <b/>
        <sz val="10"/>
        <rFont val="Arial"/>
        <family val="0"/>
      </rPr>
      <t>≤</t>
    </r>
    <r>
      <rPr>
        <b/>
        <sz val="10"/>
        <rFont val="Arial"/>
        <family val="2"/>
      </rPr>
      <t xml:space="preserve"> + ∞  &gt;&gt;&gt;&gt; VERTEILUNGSDICHTE </t>
    </r>
    <r>
      <rPr>
        <b/>
        <sz val="10"/>
        <color indexed="10"/>
        <rFont val="Arial"/>
        <family val="2"/>
      </rPr>
      <t>LINKSSCHIEF</t>
    </r>
  </si>
  <si>
    <r>
      <t>1000</t>
    </r>
    <r>
      <rPr>
        <b/>
        <sz val="10"/>
        <rFont val="Arial"/>
        <family val="0"/>
      </rPr>
      <t>·</t>
    </r>
    <r>
      <rPr>
        <b/>
        <sz val="10"/>
        <rFont val="Arial"/>
        <family val="2"/>
      </rPr>
      <t>φi</t>
    </r>
  </si>
  <si>
    <r>
      <t xml:space="preserve">  </t>
    </r>
    <r>
      <rPr>
        <b/>
        <sz val="10"/>
        <rFont val="Arial"/>
        <family val="2"/>
      </rPr>
      <t>* Bedingung:  xmin ≥ (xs - 3*s') =</t>
    </r>
  </si>
  <si>
    <r>
      <t>400</t>
    </r>
    <r>
      <rPr>
        <b/>
        <sz val="10"/>
        <rFont val="Arial"/>
        <family val="0"/>
      </rPr>
      <t>·</t>
    </r>
    <r>
      <rPr>
        <b/>
        <sz val="10"/>
        <rFont val="Arial"/>
        <family val="2"/>
      </rPr>
      <t>φi</t>
    </r>
  </si>
  <si>
    <r>
      <t xml:space="preserve">  </t>
    </r>
    <r>
      <rPr>
        <b/>
        <sz val="10"/>
        <rFont val="Arial"/>
        <family val="2"/>
      </rPr>
      <t>* Bedingung: xmax ≤ xs + 3*s') =</t>
    </r>
  </si>
  <si>
    <r>
      <t>200</t>
    </r>
    <r>
      <rPr>
        <b/>
        <sz val="10"/>
        <rFont val="Arial"/>
        <family val="0"/>
      </rPr>
      <t>·</t>
    </r>
    <r>
      <rPr>
        <b/>
        <sz val="10"/>
        <rFont val="Arial"/>
        <family val="2"/>
      </rPr>
      <t>φi</t>
    </r>
  </si>
  <si>
    <t xml:space="preserve">    WILLKÜRLICHES BEISPIEL 1</t>
  </si>
  <si>
    <r>
      <t xml:space="preserve">    </t>
    </r>
    <r>
      <rPr>
        <b/>
        <sz val="10"/>
        <color indexed="10"/>
        <rFont val="Arial"/>
        <family val="2"/>
      </rPr>
      <t xml:space="preserve"> WILLKÜRLICHES BEISPIEL 2</t>
    </r>
  </si>
  <si>
    <t xml:space="preserve">     WILLKÜRLICHES BEISPIEL 3</t>
  </si>
  <si>
    <t>ERWEITERUNG TREND SS Teil Statistik.pdf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</si>
</sst>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8.5"/>
      <name val="Arial"/>
      <family val="2"/>
    </font>
    <font>
      <b/>
      <sz val="10.25"/>
      <name val="Arial"/>
      <family val="0"/>
    </font>
    <font>
      <b/>
      <sz val="8.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ck"/>
      <right style="dashed"/>
      <top style="thick"/>
      <bottom>
        <color indexed="63"/>
      </bottom>
    </border>
    <border>
      <left style="thick"/>
      <right style="dashed"/>
      <top>
        <color indexed="63"/>
      </top>
      <bottom>
        <color indexed="63"/>
      </bottom>
    </border>
    <border>
      <left style="thick"/>
      <right style="dashed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thick"/>
    </border>
    <border>
      <left style="dashed"/>
      <right style="dashed"/>
      <top>
        <color indexed="63"/>
      </top>
      <bottom style="thick"/>
    </border>
    <border>
      <left style="dashed"/>
      <right style="thick"/>
      <top>
        <color indexed="63"/>
      </top>
      <bottom style="thick"/>
    </border>
    <border>
      <left style="dashed"/>
      <right style="dashed"/>
      <top style="thick"/>
      <bottom>
        <color indexed="63"/>
      </bottom>
    </border>
    <border>
      <left>
        <color indexed="63"/>
      </left>
      <right style="dashed"/>
      <top style="thick"/>
      <bottom>
        <color indexed="63"/>
      </bottom>
    </border>
    <border>
      <left style="dashed"/>
      <right style="thick"/>
      <top style="thick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dashed"/>
      <top>
        <color indexed="63"/>
      </top>
      <bottom style="thick"/>
    </border>
    <border>
      <left style="dashed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0" xfId="18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0" fillId="4" borderId="1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3" fillId="6" borderId="26" xfId="0" applyFont="1" applyFill="1" applyBorder="1" applyAlignment="1">
      <alignment horizontal="center"/>
    </xf>
    <xf numFmtId="0" fontId="0" fillId="6" borderId="14" xfId="0" applyNumberFormat="1" applyFill="1" applyBorder="1" applyAlignment="1">
      <alignment horizontal="center"/>
    </xf>
    <xf numFmtId="0" fontId="0" fillId="6" borderId="15" xfId="0" applyNumberForma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6" borderId="4" xfId="0" applyNumberFormat="1" applyFill="1" applyBorder="1" applyAlignment="1">
      <alignment horizontal="center"/>
    </xf>
    <xf numFmtId="0" fontId="0" fillId="0" borderId="28" xfId="0" applyBorder="1" applyAlignment="1">
      <alignment/>
    </xf>
    <xf numFmtId="0" fontId="3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0" xfId="18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PRINZIP - GRAFIK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425"/>
          <c:y val="0.15975"/>
          <c:w val="0.745"/>
          <c:h val="0.66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Tabelle1!$B$31:$B$129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Tabelle1!$C$31:$C$129</c:f>
              <c:numCache/>
            </c:numRef>
          </c:val>
          <c:smooth val="0"/>
        </c:ser>
        <c:axId val="27057289"/>
        <c:axId val="13893322"/>
      </c:lineChart>
      <c:catAx>
        <c:axId val="27057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Ablesung: xi = [xmin + ((xmax-xmin)/98)x(Abszissennummer -1)]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93322"/>
        <c:crosses val="autoZero"/>
        <c:auto val="1"/>
        <c:lblOffset val="100"/>
        <c:noMultiLvlLbl val="0"/>
      </c:catAx>
      <c:valAx>
        <c:axId val="13893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Summe und Relativdichte...........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57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PRINZIP - GRAFIK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Tabelle2!$B$31:$B$129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Tabelle2!$C$31:$C$129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val>
          <c:smooth val="0"/>
        </c:ser>
        <c:axId val="30650699"/>
        <c:axId val="46138380"/>
      </c:lineChart>
      <c:catAx>
        <c:axId val="30650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Ablesung: xi = [xmin+((xmax-xmin)/98)x(Abszissennummer -1)]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38380"/>
        <c:crosses val="autoZero"/>
        <c:auto val="1"/>
        <c:lblOffset val="100"/>
        <c:noMultiLvlLbl val="0"/>
      </c:catAx>
      <c:valAx>
        <c:axId val="4613838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Summe und Relativdichte.........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50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PRINZIP - GRAFIK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82"/>
          <c:w val="0.811"/>
          <c:h val="0.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Tabelle3!$B$31:$B$129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Tabelle3!$C$31:$C$129</c:f>
              <c:numCache/>
            </c:numRef>
          </c:val>
          <c:smooth val="0"/>
        </c:ser>
        <c:axId val="46204685"/>
        <c:axId val="50514510"/>
      </c:lineChart>
      <c:catAx>
        <c:axId val="46204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Ablesung: xi = [xmin+((xmax-xmin)/98)x(Abszissennummer -1)]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14510"/>
        <c:crosses val="autoZero"/>
        <c:auto val="1"/>
        <c:lblOffset val="100"/>
        <c:noMultiLvlLbl val="0"/>
      </c:catAx>
      <c:valAx>
        <c:axId val="50514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Summe und Relativdichte.........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04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44</xdr:row>
      <xdr:rowOff>38100</xdr:rowOff>
    </xdr:from>
    <xdr:to>
      <xdr:col>7</xdr:col>
      <xdr:colOff>9525</xdr:colOff>
      <xdr:row>61</xdr:row>
      <xdr:rowOff>104775</xdr:rowOff>
    </xdr:to>
    <xdr:graphicFrame>
      <xdr:nvGraphicFramePr>
        <xdr:cNvPr id="1" name="Chart 8"/>
        <xdr:cNvGraphicFramePr/>
      </xdr:nvGraphicFramePr>
      <xdr:xfrm>
        <a:off x="4352925" y="7772400"/>
        <a:ext cx="50006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44</xdr:row>
      <xdr:rowOff>28575</xdr:rowOff>
    </xdr:from>
    <xdr:to>
      <xdr:col>7</xdr:col>
      <xdr:colOff>47625</xdr:colOff>
      <xdr:row>62</xdr:row>
      <xdr:rowOff>104775</xdr:rowOff>
    </xdr:to>
    <xdr:graphicFrame>
      <xdr:nvGraphicFramePr>
        <xdr:cNvPr id="1" name="Chart 2"/>
        <xdr:cNvGraphicFramePr/>
      </xdr:nvGraphicFramePr>
      <xdr:xfrm>
        <a:off x="4457700" y="7839075"/>
        <a:ext cx="50673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44</xdr:row>
      <xdr:rowOff>38100</xdr:rowOff>
    </xdr:from>
    <xdr:to>
      <xdr:col>7</xdr:col>
      <xdr:colOff>28575</xdr:colOff>
      <xdr:row>62</xdr:row>
      <xdr:rowOff>47625</xdr:rowOff>
    </xdr:to>
    <xdr:graphicFrame>
      <xdr:nvGraphicFramePr>
        <xdr:cNvPr id="1" name="Chart 3"/>
        <xdr:cNvGraphicFramePr/>
      </xdr:nvGraphicFramePr>
      <xdr:xfrm>
        <a:off x="4362450" y="7848600"/>
        <a:ext cx="5133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kopriority.com/upload/download/ERWEITERUNG_TREND_SS_Teil_Statistik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kopriority.com/upload/download/ERWEITERUNG_TREND_SS_Teil_Statistik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kopriority.com/upload/download/ERWEITERUNG_TREND_SS_Teil_Statistik.pdf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workbookViewId="0" topLeftCell="A1">
      <selection activeCell="H1" sqref="H1"/>
    </sheetView>
  </sheetViews>
  <sheetFormatPr defaultColWidth="11.421875" defaultRowHeight="12.75"/>
  <cols>
    <col min="1" max="1" width="14.140625" style="0" customWidth="1"/>
    <col min="2" max="2" width="14.421875" style="0" customWidth="1"/>
    <col min="3" max="3" width="14.28125" style="0" customWidth="1"/>
    <col min="4" max="4" width="22.00390625" style="0" customWidth="1"/>
    <col min="5" max="5" width="20.00390625" style="0" customWidth="1"/>
    <col min="6" max="6" width="36.421875" style="0" customWidth="1"/>
    <col min="7" max="7" width="18.8515625" style="0" customWidth="1"/>
  </cols>
  <sheetData>
    <row r="1" spans="1:7" ht="13.5" thickTop="1">
      <c r="A1" s="1"/>
      <c r="B1" s="2"/>
      <c r="C1" s="2"/>
      <c r="D1" s="2"/>
      <c r="E1" s="2"/>
      <c r="F1" s="2"/>
      <c r="G1" s="3"/>
    </row>
    <row r="2" spans="1:7" ht="12.75">
      <c r="A2" s="18" t="s">
        <v>0</v>
      </c>
      <c r="B2" s="5"/>
      <c r="C2" s="5"/>
      <c r="D2" s="5"/>
      <c r="E2" s="5"/>
      <c r="F2" s="5"/>
      <c r="G2" s="6"/>
    </row>
    <row r="3" spans="1:7" ht="12.75">
      <c r="A3" s="18" t="s">
        <v>1</v>
      </c>
      <c r="B3" s="19"/>
      <c r="C3" s="5"/>
      <c r="D3" s="84" t="s">
        <v>48</v>
      </c>
      <c r="E3" s="5"/>
      <c r="F3" s="5"/>
      <c r="G3" s="6"/>
    </row>
    <row r="4" spans="1:7" ht="12.75">
      <c r="A4" s="4"/>
      <c r="B4" s="5"/>
      <c r="C4" s="5"/>
      <c r="D4" s="5"/>
      <c r="E4" s="5"/>
      <c r="F4" s="5"/>
      <c r="G4" s="6"/>
    </row>
    <row r="5" spans="1:7" ht="18">
      <c r="A5" s="20" t="s">
        <v>2</v>
      </c>
      <c r="B5" s="5"/>
      <c r="C5" s="5"/>
      <c r="D5" s="5"/>
      <c r="E5" s="5"/>
      <c r="F5" s="5"/>
      <c r="G5" s="6"/>
    </row>
    <row r="6" spans="1:7" ht="18">
      <c r="A6" s="20" t="s">
        <v>3</v>
      </c>
      <c r="B6" s="5"/>
      <c r="C6" s="5"/>
      <c r="D6" s="5"/>
      <c r="E6" s="5"/>
      <c r="F6" s="5"/>
      <c r="G6" s="6"/>
    </row>
    <row r="7" spans="1:7" ht="12.75">
      <c r="A7" s="21" t="s">
        <v>37</v>
      </c>
      <c r="B7" s="5"/>
      <c r="C7" s="5"/>
      <c r="D7" s="5"/>
      <c r="E7" s="5"/>
      <c r="F7" s="5"/>
      <c r="G7" s="6"/>
    </row>
    <row r="8" ht="13.5" thickBot="1">
      <c r="H8" s="4"/>
    </row>
    <row r="9" spans="1:8" ht="14.25" thickBot="1" thickTop="1">
      <c r="A9" s="1"/>
      <c r="B9" s="2"/>
      <c r="C9" s="2"/>
      <c r="D9" s="2"/>
      <c r="E9" s="2"/>
      <c r="F9" s="2"/>
      <c r="G9" s="2"/>
      <c r="H9" s="5"/>
    </row>
    <row r="10" spans="1:7" ht="14.25" thickBot="1" thickTop="1">
      <c r="A10" s="1"/>
      <c r="B10" s="2"/>
      <c r="C10" s="2"/>
      <c r="D10" s="2"/>
      <c r="E10" s="2"/>
      <c r="F10" s="2"/>
      <c r="G10" s="3"/>
    </row>
    <row r="11" spans="1:7" ht="14.25" thickBot="1" thickTop="1">
      <c r="A11" s="18" t="s">
        <v>29</v>
      </c>
      <c r="B11" s="22"/>
      <c r="C11" s="5" t="s">
        <v>4</v>
      </c>
      <c r="D11" s="5"/>
      <c r="E11" s="11">
        <v>-0.78374019</v>
      </c>
      <c r="F11" s="81" t="s">
        <v>45</v>
      </c>
      <c r="G11" s="6"/>
    </row>
    <row r="12" spans="1:7" ht="14.25" thickBot="1" thickTop="1">
      <c r="A12" s="4"/>
      <c r="B12" s="5"/>
      <c r="C12" s="5"/>
      <c r="D12" s="5"/>
      <c r="E12" s="7"/>
      <c r="F12" s="5"/>
      <c r="G12" s="6"/>
    </row>
    <row r="13" spans="1:7" ht="14.25" thickBot="1" thickTop="1">
      <c r="A13" s="4"/>
      <c r="B13" s="5"/>
      <c r="C13" s="5" t="s">
        <v>5</v>
      </c>
      <c r="D13" s="5"/>
      <c r="E13" s="11">
        <v>0.29343871</v>
      </c>
      <c r="F13" s="5"/>
      <c r="G13" s="6"/>
    </row>
    <row r="14" spans="1:7" ht="14.25" thickBot="1" thickTop="1">
      <c r="A14" s="4"/>
      <c r="B14" s="5"/>
      <c r="C14" s="5"/>
      <c r="D14" s="5"/>
      <c r="E14" s="7"/>
      <c r="F14" s="5"/>
      <c r="G14" s="6"/>
    </row>
    <row r="15" spans="1:7" ht="14.25" thickBot="1" thickTop="1">
      <c r="A15" s="4"/>
      <c r="B15" s="5"/>
      <c r="C15" s="5" t="s">
        <v>8</v>
      </c>
      <c r="D15" s="5"/>
      <c r="E15" s="11">
        <v>2.671</v>
      </c>
      <c r="F15" s="5" t="s">
        <v>35</v>
      </c>
      <c r="G15" s="6"/>
    </row>
    <row r="16" spans="1:7" ht="13.5" thickTop="1">
      <c r="A16" s="4"/>
      <c r="B16" s="5"/>
      <c r="G16" s="6"/>
    </row>
    <row r="17" spans="1:7" ht="12.75">
      <c r="A17" s="4"/>
      <c r="B17" s="5"/>
      <c r="C17" s="5" t="s">
        <v>6</v>
      </c>
      <c r="D17" s="5"/>
      <c r="E17" s="23">
        <v>0.940106</v>
      </c>
      <c r="F17" s="5" t="s">
        <v>12</v>
      </c>
      <c r="G17" s="6"/>
    </row>
    <row r="18" spans="1:7" ht="12.75">
      <c r="A18" s="4"/>
      <c r="B18" s="5"/>
      <c r="C18" s="5"/>
      <c r="D18" s="5"/>
      <c r="E18" s="7"/>
      <c r="F18" s="5"/>
      <c r="G18" s="6"/>
    </row>
    <row r="19" spans="1:7" ht="12.75">
      <c r="A19" s="4"/>
      <c r="B19" s="5"/>
      <c r="C19" s="5" t="s">
        <v>7</v>
      </c>
      <c r="D19" s="5"/>
      <c r="E19" s="23">
        <v>4.848</v>
      </c>
      <c r="F19" s="5" t="s">
        <v>12</v>
      </c>
      <c r="G19" s="6"/>
    </row>
    <row r="20" spans="1:7" ht="12.75">
      <c r="A20" s="4"/>
      <c r="B20" s="5"/>
      <c r="C20" s="5"/>
      <c r="D20" s="5"/>
      <c r="E20" s="7"/>
      <c r="F20" s="5"/>
      <c r="G20" s="6"/>
    </row>
    <row r="21" spans="1:7" ht="12.75">
      <c r="A21" s="4"/>
      <c r="B21" s="5"/>
      <c r="C21" s="5" t="s">
        <v>9</v>
      </c>
      <c r="D21" s="5"/>
      <c r="E21" s="23">
        <v>2.671</v>
      </c>
      <c r="F21" s="5" t="s">
        <v>28</v>
      </c>
      <c r="G21" s="6"/>
    </row>
    <row r="22" spans="1:7" ht="13.5" thickBot="1">
      <c r="A22" s="4"/>
      <c r="B22" s="5"/>
      <c r="C22" s="5"/>
      <c r="D22" s="5"/>
      <c r="E22" s="7"/>
      <c r="F22" s="5"/>
      <c r="G22" s="6"/>
    </row>
    <row r="23" spans="1:7" ht="14.25" thickBot="1" thickTop="1">
      <c r="A23" s="18" t="s">
        <v>30</v>
      </c>
      <c r="B23" s="22"/>
      <c r="C23" s="5" t="s">
        <v>10</v>
      </c>
      <c r="D23" s="5"/>
      <c r="E23" s="25">
        <v>-42</v>
      </c>
      <c r="F23" s="5" t="s">
        <v>33</v>
      </c>
      <c r="G23" s="14">
        <f>ROUND((E15-(10*1.3169/E13)),0)</f>
        <v>-42</v>
      </c>
    </row>
    <row r="24" spans="1:7" ht="14.25" thickBot="1" thickTop="1">
      <c r="A24" s="4"/>
      <c r="B24" s="5"/>
      <c r="C24" s="5"/>
      <c r="D24" s="5"/>
      <c r="E24" s="7"/>
      <c r="F24" s="5"/>
      <c r="G24" s="6"/>
    </row>
    <row r="25" spans="1:7" ht="14.25" thickBot="1" thickTop="1">
      <c r="A25" s="4"/>
      <c r="B25" s="5"/>
      <c r="C25" s="5" t="s">
        <v>11</v>
      </c>
      <c r="D25" s="5"/>
      <c r="E25" s="25">
        <v>48</v>
      </c>
      <c r="F25" s="5" t="s">
        <v>34</v>
      </c>
      <c r="G25" s="14">
        <f>ROUND(E15+(10*1.3169/E13),0)</f>
        <v>48</v>
      </c>
    </row>
    <row r="26" spans="1:7" ht="13.5" thickTop="1">
      <c r="A26" s="24"/>
      <c r="B26" s="5"/>
      <c r="C26" s="5"/>
      <c r="D26" s="5"/>
      <c r="E26" s="5"/>
      <c r="F26" s="5"/>
      <c r="G26" s="6"/>
    </row>
    <row r="27" spans="1:7" ht="13.5" thickBot="1">
      <c r="A27" s="8"/>
      <c r="B27" s="9"/>
      <c r="C27" s="53" t="s">
        <v>27</v>
      </c>
      <c r="D27" s="54"/>
      <c r="E27" s="54"/>
      <c r="F27" s="9"/>
      <c r="G27" s="10"/>
    </row>
    <row r="28" spans="5:8" ht="14.25" thickBot="1" thickTop="1">
      <c r="E28" s="29"/>
      <c r="F28" s="29"/>
      <c r="G28" s="29"/>
      <c r="H28" s="29"/>
    </row>
    <row r="29" spans="1:11" ht="13.5" thickTop="1">
      <c r="A29" s="69" t="s">
        <v>13</v>
      </c>
      <c r="B29" s="70"/>
      <c r="C29" s="71"/>
      <c r="D29" s="72" t="s">
        <v>26</v>
      </c>
      <c r="E29" s="70"/>
      <c r="F29" s="70"/>
      <c r="G29" s="71"/>
      <c r="I29" s="55"/>
      <c r="J29" s="56"/>
      <c r="K29" s="5"/>
    </row>
    <row r="30" spans="1:9" ht="13.5" thickBot="1">
      <c r="A30" s="48" t="s">
        <v>18</v>
      </c>
      <c r="B30" s="43" t="s">
        <v>17</v>
      </c>
      <c r="C30" s="51" t="s">
        <v>40</v>
      </c>
      <c r="D30" s="34" t="s">
        <v>32</v>
      </c>
      <c r="E30" s="35" t="s">
        <v>14</v>
      </c>
      <c r="F30" s="36" t="s">
        <v>15</v>
      </c>
      <c r="G30" s="37" t="s">
        <v>16</v>
      </c>
      <c r="I30" s="56"/>
    </row>
    <row r="31" spans="1:12" ht="14.25" thickBot="1" thickTop="1">
      <c r="A31" s="49">
        <f>ROUND((E23+((E25-E23)/98)*0),2)</f>
        <v>-42</v>
      </c>
      <c r="B31" s="41"/>
      <c r="C31" s="52">
        <f>ROUND((E13*((G31+1)/((G31-E31)*(D31+1)^2)))*((D31*(1+E31)))*10^3,3)</f>
        <v>0.001</v>
      </c>
      <c r="D31" s="38">
        <f>(2.71828183^(E13*A31+E11))</f>
        <v>2.028597242269652E-06</v>
      </c>
      <c r="E31" s="39">
        <f>(2.71828183^(E13*E23+E11))</f>
        <v>2.028597242269652E-06</v>
      </c>
      <c r="F31" s="38">
        <f>(2.71828183^(E13*E37+E11))</f>
        <v>1.0000346050087592</v>
      </c>
      <c r="G31" s="40">
        <f>(2.71828183^(E13*E25+E11))</f>
        <v>597983.1752720053</v>
      </c>
      <c r="I31" s="57"/>
      <c r="J31" s="55"/>
      <c r="K31" s="55"/>
      <c r="L31" s="58"/>
    </row>
    <row r="32" spans="1:7" ht="14.25" thickBot="1" thickTop="1">
      <c r="A32" s="50">
        <f>ROUND((E23+((E25-E23)/98)*1),2)</f>
        <v>-41.08</v>
      </c>
      <c r="B32" s="42">
        <f>ROUND(((D32-E31)*(G31+1))/((G31-E31)*(D32+1))*100,5)</f>
        <v>6E-05</v>
      </c>
      <c r="C32" s="52">
        <f>ROUND((E13*((G31+1)/((G31-E31)*(D32+1)^2)))*((D32*(1+E31)))*10^3,3)</f>
        <v>0.001</v>
      </c>
      <c r="D32" s="31">
        <f>(2.71828183^(E13*A32+E11))</f>
        <v>2.6572935804662298E-06</v>
      </c>
      <c r="E32" s="2"/>
      <c r="F32" s="2"/>
      <c r="G32" s="3"/>
    </row>
    <row r="33" spans="1:7" ht="14.25" thickBot="1" thickTop="1">
      <c r="A33" s="50">
        <f>ROUND((E23+((E25-E23)/98)*2),2)</f>
        <v>-40.16</v>
      </c>
      <c r="B33" s="42">
        <f>ROUND(((D33-E31)*(G31+1))/((G31-E31)*(D33+1))*100,5)</f>
        <v>0.00015</v>
      </c>
      <c r="C33" s="52">
        <f>ROUND((E13*((G31+1)/((G31-E31)*(D33+1)^2)))*((D33*(1+E31)))*10^3,3)</f>
        <v>0.001</v>
      </c>
      <c r="D33" s="44">
        <f>(2.71828183^(E13*A33+E11))</f>
        <v>3.480833467409599E-06</v>
      </c>
      <c r="E33" s="45"/>
      <c r="F33" s="46" t="s">
        <v>36</v>
      </c>
      <c r="G33" s="47"/>
    </row>
    <row r="34" spans="1:7" ht="14.25" thickBot="1" thickTop="1">
      <c r="A34" s="50">
        <f>ROUND((E23+((E25-E23)/98)*3),2)</f>
        <v>-39.24</v>
      </c>
      <c r="B34" s="42">
        <f>ROUND(((D34-E31)*(G31+1))/((G31-E31)*(D34+1))*100,5)</f>
        <v>0.00025</v>
      </c>
      <c r="C34" s="52">
        <f>ROUND((E13*((G31+1)/((G31-E31)*(D34+1)^2)))*((D34*(1+E31)))*10^3,3)</f>
        <v>0.001</v>
      </c>
      <c r="D34" s="32">
        <f>(2.71828183^(E13*A34+E11))</f>
        <v>4.559602189575488E-06</v>
      </c>
      <c r="E34" s="82" t="s">
        <v>19</v>
      </c>
      <c r="F34" s="5"/>
      <c r="G34" s="6"/>
    </row>
    <row r="35" spans="1:7" ht="14.25" thickBot="1" thickTop="1">
      <c r="A35" s="50">
        <f>ROUND((E23+((E25-E23)/98)*4),2)</f>
        <v>-38.33</v>
      </c>
      <c r="B35" s="42">
        <f>ROUND(((D35-E31)*(G31+1))/((G31-E31)*(D35+1))*100,5)</f>
        <v>0.00039</v>
      </c>
      <c r="C35" s="52">
        <f>ROUND((E13*((G31+1)/((G31-E31)*(D35+1)^2)))*((D35*(1+E31)))*10^3,3)</f>
        <v>0.002</v>
      </c>
      <c r="D35" s="32">
        <f>(2.71828183^(E13*A35+E11))</f>
        <v>5.955198924360804E-06</v>
      </c>
      <c r="E35" s="27">
        <v>50</v>
      </c>
      <c r="F35" s="7" t="s">
        <v>20</v>
      </c>
      <c r="G35" s="12">
        <f>ROUND(((LN(((E35*0.01*(E31-G31))-((E31*(G31+1))))/(((E35*0.01*(G31-E31))-((G31+1))))))-E11)*(1/E13),3)</f>
        <v>2.671</v>
      </c>
    </row>
    <row r="36" spans="1:7" ht="14.25" thickBot="1" thickTop="1">
      <c r="A36" s="50">
        <f>ROUND((E23+((E25-E23)/98)*5),2)</f>
        <v>-37.41</v>
      </c>
      <c r="B36" s="42">
        <f>ROUND(((D36-E31)*(G31+1))/((G31-E31)*(D36+1))*100,5)</f>
        <v>0.00058</v>
      </c>
      <c r="C36" s="52">
        <f>ROUND((E13*((G31+1)/((G31-E31)*(D36+1)^2)))*((D36*(1+E31)))*10^3,3)</f>
        <v>0.002</v>
      </c>
      <c r="D36" s="32">
        <f>(2.71828183^(E13*A36+E11))</f>
        <v>7.800815037290596E-06</v>
      </c>
      <c r="E36" s="83" t="s">
        <v>21</v>
      </c>
      <c r="F36" s="7"/>
      <c r="G36" s="13"/>
    </row>
    <row r="37" spans="1:7" ht="14.25" thickBot="1" thickTop="1">
      <c r="A37" s="50">
        <f>ROUND((E23+((E25-E23)/98)*6),2)</f>
        <v>-36.49</v>
      </c>
      <c r="B37" s="42">
        <f>ROUND(((D37-E31)*(G31+1))/((G31-E31)*(D37+1))*100,5)</f>
        <v>0.00082</v>
      </c>
      <c r="C37" s="52">
        <f>ROUND((E13*((G31+1)/((G31-E31)*(D37+1)^2)))*((D37*(1+E31)))*10^3,3)</f>
        <v>0.003</v>
      </c>
      <c r="D37" s="32">
        <f>(2.71828183^(E13*A37+E11))</f>
        <v>1.0218418564842574E-05</v>
      </c>
      <c r="E37" s="27">
        <v>2.671</v>
      </c>
      <c r="F37" s="7" t="s">
        <v>22</v>
      </c>
      <c r="G37" s="12">
        <f>ROUND(((F31-E31)*(G31+1))/((G31-E31)*(F31+1))*100,2)</f>
        <v>50</v>
      </c>
    </row>
    <row r="38" spans="1:7" ht="14.25" thickBot="1" thickTop="1">
      <c r="A38" s="50">
        <f>ROUND((E23+((E25-E23)/98)*7),2)</f>
        <v>-35.57</v>
      </c>
      <c r="B38" s="42">
        <f>ROUND(((D38-E31)*(G31+1))/((G31-E31)*(D38+1))*100,5)</f>
        <v>0.00114</v>
      </c>
      <c r="C38" s="52">
        <f>ROUND((E13*((G31+1)/((G31-E31)*(D38+1)^2)))*((D38*(1+E31)))*10^3,3)</f>
        <v>0.004</v>
      </c>
      <c r="D38" s="32">
        <f>(2.71828183^(E13*A38+E11))</f>
        <v>1.3385278008409987E-05</v>
      </c>
      <c r="E38" s="2"/>
      <c r="F38" s="15" t="s">
        <v>31</v>
      </c>
      <c r="G38" s="26"/>
    </row>
    <row r="39" spans="1:7" ht="14.25" thickBot="1" thickTop="1">
      <c r="A39" s="50">
        <f>ROUND((E23+((E25-E23)/98)*8),2)</f>
        <v>-34.65</v>
      </c>
      <c r="B39" s="42">
        <f>ROUND(((D39-E31)*(G31+1))/((G31-E31)*(D39+1))*100,5)</f>
        <v>0.00155</v>
      </c>
      <c r="C39" s="52">
        <f>ROUND((E13*((G31+1)/((G31-E31)*(D39+1)^2)))*((D39*(1+E31)))*10^3,3)</f>
        <v>0.005</v>
      </c>
      <c r="D39" s="32">
        <f>(2.71828183^(E13*A39+E11))</f>
        <v>1.7533600353665286E-05</v>
      </c>
      <c r="E39" s="15"/>
      <c r="F39" s="7" t="s">
        <v>23</v>
      </c>
      <c r="G39" s="12">
        <f>ROUND(((LN(((0.5*(E31-G31))-((E31*(G31+1))))/(((0.5*(G31-E31))-((G31+1))))))-E11)*(1/E13),3)</f>
        <v>2.671</v>
      </c>
    </row>
    <row r="40" spans="1:7" ht="13.5" thickTop="1">
      <c r="A40" s="50">
        <f>ROUND((E23+((E25-E23)/98)*9),2)</f>
        <v>-33.73</v>
      </c>
      <c r="B40" s="42">
        <f>ROUND(((D40-E31)*(G31+1))/((G31-E31)*(D40+1))*100,5)</f>
        <v>0.00209</v>
      </c>
      <c r="C40" s="52">
        <f>ROUND((E13*((G31+1)/((G31-E31)*(D40+1)^2)))*((D40*(1+E31)))*10^3,3)</f>
        <v>0.007</v>
      </c>
      <c r="D40" s="32">
        <f>(2.71828183^(E13*A40+E11))</f>
        <v>2.2967557429057105E-05</v>
      </c>
      <c r="E40" s="15"/>
      <c r="F40" s="7"/>
      <c r="G40" s="13"/>
    </row>
    <row r="41" spans="1:11" ht="12.75">
      <c r="A41" s="50">
        <f>ROUND((E23+((E25-E23)/98)*10),2)</f>
        <v>-32.82</v>
      </c>
      <c r="B41" s="42">
        <f>ROUND(((D41-E31)*(G31+1))/((G31-E31)*(D41+1))*100,5)</f>
        <v>0.0028</v>
      </c>
      <c r="C41" s="52">
        <f>ROUND((E13*((G31+1)/((G31-E31)*(D41+1)^2)))*((D41*(1+E31)))*10^3,3)</f>
        <v>0.009</v>
      </c>
      <c r="D41" s="32">
        <f>(2.71828183^(E13*A41+E11))</f>
        <v>2.9997435655554337E-05</v>
      </c>
      <c r="E41" s="15"/>
      <c r="F41" s="7" t="s">
        <v>24</v>
      </c>
      <c r="G41" s="14">
        <f>(E15)</f>
        <v>2.671</v>
      </c>
      <c r="K41" s="28"/>
    </row>
    <row r="42" spans="1:11" ht="12.75">
      <c r="A42" s="50">
        <f>ROUND((E23+((E25-E23)/98)*11),2)</f>
        <v>-31.9</v>
      </c>
      <c r="B42" s="42">
        <f>ROUND(((D42-E31)*(G31+1))/((G31-E31)*(D42+1))*100,5)</f>
        <v>0.00373</v>
      </c>
      <c r="C42" s="52">
        <f>ROUND((E13*((G31+1)/((G31-E31)*(D42+1)^2)))*((D42*(1+E31)))*10^3,3)</f>
        <v>0.012</v>
      </c>
      <c r="D42" s="32">
        <f>(2.71828183^(E13*A42+E11))</f>
        <v>3.929414451375728E-05</v>
      </c>
      <c r="E42" s="15"/>
      <c r="F42" s="7"/>
      <c r="G42" s="13"/>
      <c r="K42" s="56"/>
    </row>
    <row r="43" spans="1:7" ht="12.75">
      <c r="A43" s="50">
        <f>ROUND((E23+((E25-E23)/98)*12),2)</f>
        <v>-30.98</v>
      </c>
      <c r="B43" s="42">
        <f>ROUND(((D43-E31)*(G31+1))/((G31-E31)*(D43+1))*100,5)</f>
        <v>0.00494</v>
      </c>
      <c r="C43" s="52">
        <f>ROUND((E13*((G31+1)/((G31-E31)*(D43+1)^2)))*((D43*(1+E31)))*10^3,3)</f>
        <v>0.015</v>
      </c>
      <c r="D43" s="32">
        <f>(2.71828183^(E13*A43+E11))</f>
        <v>5.147205950526467E-05</v>
      </c>
      <c r="E43" s="15"/>
      <c r="F43" s="7" t="s">
        <v>25</v>
      </c>
      <c r="G43" s="14">
        <f>(E19)</f>
        <v>4.848</v>
      </c>
    </row>
    <row r="44" spans="1:7" ht="13.5" thickBot="1">
      <c r="A44" s="50">
        <f>ROUND((E23+((E25-E23)/98)*13),2)</f>
        <v>-30.06</v>
      </c>
      <c r="B44" s="42">
        <f>ROUND(((D44-E31)*(G31+1))/((G31-E31)*(D44+1))*100,5)</f>
        <v>0.00654</v>
      </c>
      <c r="C44" s="52">
        <f>ROUND((E13*((G31+1)/((G31-E31)*(D44+1)^2)))*((D44*(1+E31)))*10^3,3)</f>
        <v>0.02</v>
      </c>
      <c r="D44" s="32">
        <f>(2.71828183^(E13*A44+E11))</f>
        <v>6.742411477582712E-05</v>
      </c>
      <c r="E44" s="16"/>
      <c r="F44" s="16"/>
      <c r="G44" s="17"/>
    </row>
    <row r="45" spans="1:4" ht="13.5" thickTop="1">
      <c r="A45" s="50">
        <f>ROUND((E23+((E25-E23)/98)*14),2)</f>
        <v>-29.14</v>
      </c>
      <c r="B45" s="42">
        <f>ROUND(((D45-E31)*(G31+1))/((G31-E31)*(D45+1))*100,5)</f>
        <v>0.00863</v>
      </c>
      <c r="C45" s="52">
        <f>ROUND((E13*((G31+1)/((G31-E31)*(D45+1)^2)))*((D45*(1+E31)))*10^3,3)</f>
        <v>0.026</v>
      </c>
      <c r="D45" s="32">
        <f>(2.71828183^(E13*A45+E11))</f>
        <v>8.831997975210088E-05</v>
      </c>
    </row>
    <row r="46" spans="1:4" ht="12.75">
      <c r="A46" s="50">
        <f>ROUND((E23+((E25-E23)/98)*15),2)</f>
        <v>-28.22</v>
      </c>
      <c r="B46" s="42">
        <f>ROUND(((D46-E31)*(G31+1))/((G31-E31)*(D46+1))*100,5)</f>
        <v>0.01137</v>
      </c>
      <c r="C46" s="52">
        <f>ROUND((E13*((G31+1)/((G31-E31)*(D46+1)^2)))*((D46*(1+E31)))*10^3,3)</f>
        <v>0.034</v>
      </c>
      <c r="D46" s="32">
        <f>(2.71828183^(E13*A46+E11))</f>
        <v>0.00011569182405058626</v>
      </c>
    </row>
    <row r="47" spans="1:4" ht="12.75">
      <c r="A47" s="50">
        <f>ROUND((E23+((E25-E23)/98)*16),2)</f>
        <v>-27.31</v>
      </c>
      <c r="B47" s="42">
        <f>ROUND(((D47-E31)*(G31+1))/((G31-E31)*(D47+1))*100,5)</f>
        <v>0.01491</v>
      </c>
      <c r="C47" s="52">
        <f>ROUND((E13*((G31+1)/((G31-E31)*(D47+1)^2)))*((D47*(1+E31)))*10^3,3)</f>
        <v>0.044</v>
      </c>
      <c r="D47" s="32">
        <f>(2.71828183^(E13*A47+E11))</f>
        <v>0.00015110261761838796</v>
      </c>
    </row>
    <row r="48" spans="1:4" ht="12.75">
      <c r="A48" s="50">
        <f>ROUND((E23+((E25-E23)/98)*17),2)</f>
        <v>-26.39</v>
      </c>
      <c r="B48" s="42">
        <f>ROUND(((D48-E31)*(G31+1))/((G31-E31)*(D48+1))*100,5)</f>
        <v>0.01959</v>
      </c>
      <c r="C48" s="52">
        <f>ROUND((E13*((G31+1)/((G31-E31)*(D48+1)^2)))*((D48*(1+E31)))*10^3,3)</f>
        <v>0.058</v>
      </c>
      <c r="D48" s="32">
        <f>(2.71828183^(E13*A48+E11))</f>
        <v>0.0001979318552852551</v>
      </c>
    </row>
    <row r="49" spans="1:4" ht="12.75">
      <c r="A49" s="50">
        <f>ROUND((E23+((E25-E23)/98)*18),2)</f>
        <v>-25.47</v>
      </c>
      <c r="B49" s="42">
        <f>ROUND(((D49-E31)*(G31+1))/((G31-E31)*(D49+1))*100,5)</f>
        <v>0.02572</v>
      </c>
      <c r="C49" s="52">
        <f>ROUND((E13*((G31+1)/((G31-E31)*(D49+1)^2)))*((D49*(1+E31)))*10^3,3)</f>
        <v>0.076</v>
      </c>
      <c r="D49" s="32">
        <f>(2.71828183^(E13*A49+E11))</f>
        <v>0.00025927425979876414</v>
      </c>
    </row>
    <row r="50" spans="1:4" ht="12.75">
      <c r="A50" s="50">
        <f>ROUND((E23+((E25-E23)/98)*19),2)</f>
        <v>-24.55</v>
      </c>
      <c r="B50" s="42">
        <f>ROUND(((D50-E31)*(G31+1))/((G31-E31)*(D50+1))*100,5)</f>
        <v>0.03375</v>
      </c>
      <c r="C50" s="52">
        <f>ROUND((E13*((G31+1)/((G31-E31)*(D50+1)^2)))*((D50*(1+E31)))*10^3,3)</f>
        <v>0.1</v>
      </c>
      <c r="D50" s="32">
        <f>(2.71828183^(E13*A50+E11))</f>
        <v>0.0003396277051883163</v>
      </c>
    </row>
    <row r="51" spans="1:6" ht="12.75">
      <c r="A51" s="50">
        <f>ROUND((E23+((E25-E23)/98)*20),2)</f>
        <v>-23.63</v>
      </c>
      <c r="B51" s="42">
        <f>ROUND(((D51-E31)*(G31+1))/((G31-E31)*(D51+1))*100,5)</f>
        <v>0.04427</v>
      </c>
      <c r="C51" s="52">
        <f>ROUND((E13*((G31+1)/((G31-E31)*(D51+1)^2)))*((D51*(1+E31)))*10^3,3)</f>
        <v>0.13</v>
      </c>
      <c r="D51" s="32">
        <f>(2.71828183^(E13*A51+E11))</f>
        <v>0.00044488403214807564</v>
      </c>
      <c r="F51" s="5"/>
    </row>
    <row r="52" spans="1:4" ht="12.75">
      <c r="A52" s="50">
        <f>ROUND((E23+((E25-E23)/98)*21),2)</f>
        <v>-22.71</v>
      </c>
      <c r="B52" s="42">
        <f>ROUND(((D52-E31)*(G31+1))/((G31-E31)*(D52+1))*100,5)</f>
        <v>0.05804</v>
      </c>
      <c r="C52" s="52">
        <f>ROUND((E13*((G31+1)/((G31-E31)*(D52+1)^2)))*((D52*(1+E31)))*10^3,3)</f>
        <v>0.171</v>
      </c>
      <c r="D52" s="32">
        <f>(2.71828183^(E13*A52+E11))</f>
        <v>0.0005827610617060413</v>
      </c>
    </row>
    <row r="53" spans="1:5" ht="12.75">
      <c r="A53" s="50">
        <f>ROUND((E23+((E25-E23)/98)*22),2)</f>
        <v>-21.8</v>
      </c>
      <c r="B53" s="42">
        <f>ROUND(((D53-E31)*(G31+1))/((G31-E31)*(D53+1))*100,5)</f>
        <v>0.07585</v>
      </c>
      <c r="C53" s="52">
        <f>ROUND((E13*((G31+1)/((G31-E31)*(D53+1)^2)))*((D53*(1+E31)))*10^3,3)</f>
        <v>0.223</v>
      </c>
      <c r="D53" s="32">
        <f>(2.71828183^(E13*A53+E11))</f>
        <v>0.0007611317618378189</v>
      </c>
      <c r="E53" s="30"/>
    </row>
    <row r="54" spans="1:4" ht="12.75">
      <c r="A54" s="50">
        <f>ROUND((E23+((E25-E23)/98)*23),2)</f>
        <v>-20.88</v>
      </c>
      <c r="B54" s="42">
        <f>ROUND(((D54-E31)*(G31+1))/((G31-E31)*(D54+1))*100,5)</f>
        <v>0.0994</v>
      </c>
      <c r="C54" s="52">
        <f>ROUND((E13*((G31+1)/((G31-E31)*(D54+1)^2)))*((D54*(1+E13)))*10^3,3)</f>
        <v>0.378</v>
      </c>
      <c r="D54" s="32">
        <f>(2.71828183^(E13*A54+E11))</f>
        <v>0.000997019271483234</v>
      </c>
    </row>
    <row r="55" spans="1:4" ht="12.75">
      <c r="A55" s="50">
        <f>ROUND((E23+((E25-E23)/98)*24),2)</f>
        <v>-19.96</v>
      </c>
      <c r="B55" s="42">
        <f>ROUND(((D55-E31)*(G31+1))/((G31-E31)*(D55+1))*100,5)</f>
        <v>0.13023</v>
      </c>
      <c r="C55" s="52">
        <f>ROUND((E13*((G31+1)/((G31-E31)*(D55+1)^2)))*((D55*(1+E31)))*10^3,3)</f>
        <v>0.382</v>
      </c>
      <c r="D55" s="32">
        <f>(2.71828183^(E13*A55+E11))</f>
        <v>0.0013060122800666518</v>
      </c>
    </row>
    <row r="56" spans="1:4" ht="12.75">
      <c r="A56" s="50">
        <f>ROUND((E23+((E25-E23)/98)*25),2)</f>
        <v>-19.04</v>
      </c>
      <c r="B56" s="42">
        <f>ROUND(((D56-E31)*(G31+1))/((G31-E31)*(D56+1))*100,5)</f>
        <v>0.17058</v>
      </c>
      <c r="C56" s="52">
        <f>ROUND((E13*((G31+1)/((G31-E31)*(D56+1)^2)))*((D56*(1+E31)))*10^3,3)</f>
        <v>0.5</v>
      </c>
      <c r="D56" s="32">
        <f>(2.71828183^(E13*A56+E11))</f>
        <v>0.0017107674088861153</v>
      </c>
    </row>
    <row r="57" spans="1:4" ht="12.75">
      <c r="A57" s="50">
        <f>ROUND((E23+((E25-E23)/98)*26),2)</f>
        <v>-18.12</v>
      </c>
      <c r="B57" s="42">
        <f>ROUND(((D57-E31)*(G31+1))/((G31-E31)*(D57+1))*100,5)</f>
        <v>0.22339</v>
      </c>
      <c r="C57" s="52">
        <f>ROUND((E13*((G31+1)/((G31-E31)*(D57+1)^2)))*((D57*(1+E31)))*10^3,3)</f>
        <v>0.655</v>
      </c>
      <c r="D57" s="32">
        <f>(2.71828183^(E13*A57+E11))</f>
        <v>0.0022409629465027303</v>
      </c>
    </row>
    <row r="58" spans="1:4" ht="12.75">
      <c r="A58" s="50">
        <f>ROUND((E23+((E25-E23)/98)*27),2)</f>
        <v>-17.2</v>
      </c>
      <c r="B58" s="42">
        <f>ROUND(((D58-E31)*(G31+1))/((G31-E31)*(D58+1))*100,5)</f>
        <v>0.29249</v>
      </c>
      <c r="C58" s="52">
        <f>ROUND((E13*((G31+1)/((G31-E31)*(D58+1)^2)))*((D58*(1+E31)))*10^3,3)</f>
        <v>0.856</v>
      </c>
      <c r="D58" s="32">
        <f>(2.71828183^(E13*A58+E11))</f>
        <v>0.0029354749812939116</v>
      </c>
    </row>
    <row r="59" spans="1:4" ht="12.75">
      <c r="A59" s="50">
        <f>ROUND((E23+((E25-E23)/98)*28),2)</f>
        <v>-16.29</v>
      </c>
      <c r="B59" s="42">
        <f>ROUND(((D59-E31)*(G31+1))/((G31-E31)*(D59+1))*100,5)</f>
        <v>0.38173</v>
      </c>
      <c r="C59" s="52">
        <f>ROUND((E13*((G31+1)/((G31-E31)*(D59+1)^2)))*((D59*(1+E31)))*10^3,3)</f>
        <v>1.116</v>
      </c>
      <c r="D59" s="32">
        <f>(2.71828183^(E13*A59+E11))</f>
        <v>0.0038339611054351796</v>
      </c>
    </row>
    <row r="60" spans="1:4" ht="12.75">
      <c r="A60" s="50">
        <f>ROUND((E23+((E25-E23)/98)*29),2)</f>
        <v>-15.37</v>
      </c>
      <c r="B60" s="42">
        <f>ROUND(((D60-E31)*(G31+1))/((G31-E31)*(D60+1))*100,5)</f>
        <v>0.49951</v>
      </c>
      <c r="C60" s="52">
        <f>ROUND((E13*((G31+1)/((G31-E31)*(D60+1)^2)))*((D60*(1+E31)))*10^3,3)</f>
        <v>1.459</v>
      </c>
      <c r="D60" s="32">
        <f>(2.71828183^(E13*A60+E11))</f>
        <v>0.005022170010362194</v>
      </c>
    </row>
    <row r="61" spans="1:4" ht="12.75">
      <c r="A61" s="50">
        <f>ROUND((E23+((E25-E23)/98)*30),2)</f>
        <v>-14.45</v>
      </c>
      <c r="B61" s="42">
        <f>ROUND(((D61-E31)*(G31+1))/((G31-E31)*(D61+1))*100,5)</f>
        <v>0.65336</v>
      </c>
      <c r="C61" s="52">
        <f>ROUND((E13*((G31+1)/((G31-E31)*(D61+1)^2)))*((D61*(1+E31)))*10^3,3)</f>
        <v>1.905</v>
      </c>
      <c r="D61" s="32">
        <f>(2.71828183^(E13*A61+E11))</f>
        <v>0.00657862480065992</v>
      </c>
    </row>
    <row r="62" spans="1:4" ht="12.75">
      <c r="A62" s="50">
        <f>ROUND((E23+((E25-E23)/98)*31),2)</f>
        <v>-13.53</v>
      </c>
      <c r="B62" s="42">
        <f>ROUND(((D62-E31)*(G31+1))/((G31-E31)*(D62+1))*100,5)</f>
        <v>0.85418</v>
      </c>
      <c r="C62" s="52">
        <f>ROUND((E13*((G31+1)/((G31-E31)*(D62+1)^2)))*((D62*(1+E13)))*10^3,3)</f>
        <v>3.215</v>
      </c>
      <c r="D62" s="32">
        <f>(2.71828183^(E13*A62+E11))</f>
        <v>0.008617451057722473</v>
      </c>
    </row>
    <row r="63" spans="1:4" ht="12.75">
      <c r="A63" s="50">
        <f>ROUND((E23+((E25-E23)/98)*32),2)</f>
        <v>-12.61</v>
      </c>
      <c r="B63" s="42">
        <f>ROUND(((D63-E31)*(G31+1))/((G31-E31)*(D63+1))*100,5)</f>
        <v>1.11602</v>
      </c>
      <c r="C63" s="52">
        <f>ROUND((E13*((G31+1)/((G31-E31)*(D63+1)^2)))*((D63*(1+E13)))*10^3,3)</f>
        <v>4.189</v>
      </c>
      <c r="D63" s="32">
        <f>(2.71828183^(E13*A63+E11))</f>
        <v>0.011288143796374116</v>
      </c>
    </row>
    <row r="64" spans="1:4" ht="12.75">
      <c r="A64" s="50">
        <f>ROUND((E23+((E25-E23)/98)*33),2)</f>
        <v>-11.69</v>
      </c>
      <c r="B64" s="42">
        <f>ROUND(((D64-E31)*(G31+1))/((G31-E31)*(D64+1))*100,5)</f>
        <v>1.45691</v>
      </c>
      <c r="C64" s="52">
        <f>ROUND((E13*((G31+1)/((G31-E31)*(D64+1)^2)))*((D64*(1+E31)))*10^3,3)</f>
        <v>4.213</v>
      </c>
      <c r="D64" s="32">
        <f>(2.71828183^(E13*A64+E11))</f>
        <v>0.014786529046014234</v>
      </c>
    </row>
    <row r="65" spans="1:4" ht="12.75">
      <c r="A65" s="50">
        <f>ROUND((E23+((E25-E23)/98)*34),2)</f>
        <v>-10.78</v>
      </c>
      <c r="B65" s="42">
        <f>ROUND(((D65-E31)*(G31+1))/((G31-E31)*(D65+1))*100,5)</f>
        <v>1.89445</v>
      </c>
      <c r="C65" s="52">
        <f>ROUND((E13*((G31+1)/((G31-E31)*(D65+1)^2)))*((D65*(1+E31)))*10^3,3)</f>
        <v>5.454</v>
      </c>
      <c r="D65" s="32">
        <f>(2.71828183^(E13*A65+E11))</f>
        <v>0.019312369414852808</v>
      </c>
    </row>
    <row r="66" spans="1:4" ht="12.75">
      <c r="A66" s="50">
        <f>ROUND((E23+((E25-E23)/98)*35),2)</f>
        <v>-9.86</v>
      </c>
      <c r="B66" s="42">
        <f>ROUND(((D66-E31)*(G31+1))/((G31-E31)*(D66+1))*100,5)</f>
        <v>2.46715</v>
      </c>
      <c r="C66" s="52">
        <f>ROUND((E13*((G31+1)/((G31-E31)*(D66+1)^2)))*((D66*(1+E31)))*10^3,3)</f>
        <v>7.062</v>
      </c>
      <c r="D66" s="32">
        <f>(2.71828183^(E13*A66+E11))</f>
        <v>0.025297596881411456</v>
      </c>
    </row>
    <row r="67" spans="1:4" ht="12.75">
      <c r="A67" s="50">
        <f>ROUND((E23+((E25-E23)/98)*36),2)</f>
        <v>-8.94</v>
      </c>
      <c r="B67" s="42">
        <f>ROUND(((D67-E31)*(G31+1))/((G31-E31)*(D67+1))*100,5)</f>
        <v>3.20729</v>
      </c>
      <c r="C67" s="52">
        <f>ROUND((E13*((G31+1)/((G31-E31)*(D67+1)^2)))*((D67*(1+E31)))*10^3,3)</f>
        <v>9.11</v>
      </c>
      <c r="D67" s="32">
        <f>(2.71828183^(E13*A67+E11))</f>
        <v>0.03313774681019773</v>
      </c>
    </row>
    <row r="68" spans="1:4" ht="12.75">
      <c r="A68" s="50">
        <f>ROUND((E23+((E25-E23)/98)*37),2)</f>
        <v>-8.02</v>
      </c>
      <c r="B68" s="42">
        <f>ROUND(((D68-E31)*(G31+1))/((G31-E31)*(D68+1))*100,5)</f>
        <v>4.16</v>
      </c>
      <c r="C68" s="52">
        <f>ROUND((E13*((G31+1)/((G31-E31)*(D68+1)^2)))*((D68*(1+E31)))*10^3,3)</f>
        <v>11.7</v>
      </c>
      <c r="D68" s="32">
        <f>(2.71828183^(E13*A68+E11))</f>
        <v>0.04340769080970119</v>
      </c>
    </row>
    <row r="69" spans="1:4" ht="12.75">
      <c r="A69" s="50">
        <f>ROUND((E23+((E25-E23)/98)*38),2)</f>
        <v>-7.1</v>
      </c>
      <c r="B69" s="42">
        <f>ROUND(((D69-E31)*(G31+1))/((G31-E31)*(D69+1))*100,5)</f>
        <v>5.37995</v>
      </c>
      <c r="C69" s="52">
        <f>ROUND((E13*((G31+1)/((G31-E31)*(D69+1)^2)))*((D69*(1+E31)))*10^3,3)</f>
        <v>14.938</v>
      </c>
      <c r="D69" s="32">
        <f>(2.71828183^(E13*A69+E11))</f>
        <v>0.05686046284989933</v>
      </c>
    </row>
    <row r="70" spans="1:4" ht="12.75">
      <c r="A70" s="50">
        <f>ROUND((E23+((E25-E23)/98)*39),2)</f>
        <v>-6.18</v>
      </c>
      <c r="B70" s="42">
        <f>ROUND(((D70-E31)*(G31+1))/((G31-E31)*(D70+1))*100,5)</f>
        <v>6.93176</v>
      </c>
      <c r="C70" s="52">
        <f>ROUND((E13*((G31+1)/((G31-E31)*(D70+1)^2)))*((D70*(1+E31)))*10^3,3)</f>
        <v>18.931</v>
      </c>
      <c r="D70" s="32">
        <f>(2.71828183^(E13*A70+E11))</f>
        <v>0.0744824747687848</v>
      </c>
    </row>
    <row r="71" spans="1:4" ht="12.75">
      <c r="A71" s="50">
        <f>ROUND((E23+((E25-E23)/98)*40),2)</f>
        <v>-5.27</v>
      </c>
      <c r="B71" s="42">
        <f>ROUND(((D71-E31)*(G31+1))/((G31-E31)*(D71+1))*100,5)</f>
        <v>8.86539</v>
      </c>
      <c r="C71" s="52">
        <f>ROUND((E13*((G31+1)/((G31-E31)*(D71+1)^2)))*((D71*(1+E31)))*10^3,3)</f>
        <v>23.709</v>
      </c>
      <c r="D71" s="32">
        <f>(2.71828183^(E13*A71+E11))</f>
        <v>0.09727996767807796</v>
      </c>
    </row>
    <row r="72" spans="1:4" ht="12.75">
      <c r="A72" s="50">
        <f>ROUND((E23+((E25-E23)/98)*41),2)</f>
        <v>-4.35</v>
      </c>
      <c r="B72" s="42">
        <f>ROUND(((D72-E31)*(G31+1))/((G31-E31)*(D72+1))*100,5)</f>
        <v>11.30243</v>
      </c>
      <c r="C72" s="52">
        <f>ROUND((E13*((G31+1)/((G31-E31)*(D72+1)^2)))*((D72*(1+E31)))*10^3,3)</f>
        <v>29.418</v>
      </c>
      <c r="D72" s="32">
        <f>(2.71828183^(E13*A72+E11))</f>
        <v>0.12742866264064318</v>
      </c>
    </row>
    <row r="73" spans="1:4" ht="12.75">
      <c r="A73" s="50">
        <f>ROUND((E23+((E25-E23)/98)*42),2)</f>
        <v>-3.43</v>
      </c>
      <c r="B73" s="42">
        <f>ROUND(((D73-E31)*(G31+1))/((G31-E31)*(D73+1))*100,5)</f>
        <v>14.30424</v>
      </c>
      <c r="C73" s="52">
        <f>ROUND((E13*((G31+1)/((G31-E31)*(D73+1)^2)))*((D73*(1+E31)))*10^3,3)</f>
        <v>35.971</v>
      </c>
      <c r="D73" s="32">
        <f>(2.71828183^(E13*A73+E11))</f>
        <v>0.1669209442597511</v>
      </c>
    </row>
    <row r="74" spans="1:4" ht="12.75">
      <c r="A74" s="50">
        <f>ROUND((E23+((E25-E23)/98)*43),2)</f>
        <v>-2.51</v>
      </c>
      <c r="B74" s="42">
        <f>ROUND(((D74-E31)*(G31+1))/((G31-E31)*(D74+1))*100,5)</f>
        <v>17.94202</v>
      </c>
      <c r="C74" s="52">
        <f>ROUND((E13*((G31+1)/((G31-E31)*(D74+1)^2)))*((D74*(1+E31)))*10^3,3)</f>
        <v>43.203</v>
      </c>
      <c r="D74" s="32">
        <f>(2.71828183^(E13*A74+E11))</f>
        <v>0.2186525468853206</v>
      </c>
    </row>
    <row r="75" spans="1:4" ht="12.75">
      <c r="A75" s="50">
        <f>ROUND((E23+((E25-E23)/98)*44),2)</f>
        <v>-1.59</v>
      </c>
      <c r="B75" s="42">
        <f>ROUND(((D75-E31)*(G31+1))/((G31-E31)*(D75+1))*100,5)</f>
        <v>22.26457</v>
      </c>
      <c r="C75" s="52">
        <f>ROUND((E13*((G31+1)/((G31-E31)*(D75+1)^2)))*((D75*(1+E31)))*10^3,3)</f>
        <v>50.787</v>
      </c>
      <c r="D75" s="32">
        <f>(2.71828183^(E13*A75+E11))</f>
        <v>0.28641664155122626</v>
      </c>
    </row>
    <row r="76" spans="1:4" ht="12.75">
      <c r="A76" s="50">
        <f>ROUND((E23+((E25-E23)/98)*45),2)</f>
        <v>-0.67</v>
      </c>
      <c r="B76" s="42">
        <f>ROUND(((D76-E31)*(G31+1))/((G31-E31)*(D76+1))*100,5)</f>
        <v>27.28225</v>
      </c>
      <c r="C76" s="52">
        <f>ROUND((E13*((G31+1)/((G31-E31)*(D76+1)^2)))*((D76*(1+E31)))*10^3,3)</f>
        <v>58.216</v>
      </c>
      <c r="D76" s="32">
        <f>(2.71828183^(E13*A76+E11))</f>
        <v>0.37518196666837467</v>
      </c>
    </row>
    <row r="77" spans="1:4" ht="12.75">
      <c r="A77" s="50">
        <f>ROUND((E23+((E25-E23)/98)*46),2)</f>
        <v>0.24</v>
      </c>
      <c r="B77" s="42">
        <f>ROUND(((D77-E31)*(G31+1))/((G31-E31)*(D77+1))*100,5)</f>
        <v>32.8866</v>
      </c>
      <c r="C77" s="52">
        <f>ROUND((E13*((G31+1)/((G31-E31)*(D77+1)^2)))*((D77*(1+E31)))*10^3,3)</f>
        <v>64.766</v>
      </c>
      <c r="D77" s="32">
        <f>(2.71828183^(E13*A77+E11))</f>
        <v>0.49001714435773797</v>
      </c>
    </row>
    <row r="78" spans="1:4" ht="12.75">
      <c r="A78" s="50">
        <f>ROUND((E23+((E25-E23)/98)*47),2)</f>
        <v>1.16</v>
      </c>
      <c r="B78" s="42">
        <f>ROUND(((D78-E31)*(G31+1))/((G31-E31)*(D78+1))*100,5)</f>
        <v>39.09421</v>
      </c>
      <c r="C78" s="52">
        <f>ROUND((E13*((G31+1)/((G31-E31)*(D78+1)^2)))*((D78*(1+E31)))*10^3,3)</f>
        <v>69.87</v>
      </c>
      <c r="D78" s="32">
        <f>(2.71828183^(E13*A78+E11))</f>
        <v>0.6418816830113409</v>
      </c>
    </row>
    <row r="79" spans="1:4" ht="12.75">
      <c r="A79" s="50">
        <f>ROUND((E23+((E25-E23)/98)*48),2)</f>
        <v>2.08</v>
      </c>
      <c r="B79" s="42">
        <f>ROUND(((D79-E31)*(G31+1))/((G31-E31)*(D79+1))*100,5)</f>
        <v>45.6761</v>
      </c>
      <c r="C79" s="52">
        <f>ROUND((E13*((G31+1)/((G31-E31)*(D79+1)^2)))*((D79*(1+E31)))*10^3,3)</f>
        <v>72.811</v>
      </c>
      <c r="D79" s="32">
        <f>(2.71828183^(E13*A79+E11))</f>
        <v>0.8408115914505253</v>
      </c>
    </row>
    <row r="80" spans="1:4" ht="12.75">
      <c r="A80" s="50">
        <f>ROUND((E23+((E25-E23)/98)*49),5)</f>
        <v>3</v>
      </c>
      <c r="B80" s="42">
        <f>ROUND(((D80-E31)*(G31+1))/((G31-E31)*(D80+1))*100,5)</f>
        <v>52.41251</v>
      </c>
      <c r="C80" s="52">
        <f>ROUND((E13*((G31+1)/((G31-E31)*(D80+1)^2)))*((D80*(1+E31)))*10^3,3)</f>
        <v>73.189</v>
      </c>
      <c r="D80" s="32">
        <f>(2.71828183^(E13*A80+E11))</f>
        <v>1.1013932178293273</v>
      </c>
    </row>
    <row r="81" spans="1:4" ht="12.75">
      <c r="A81" s="50">
        <f>ROUND((E23+((E25-E23)/98)*50),2)</f>
        <v>3.92</v>
      </c>
      <c r="B81" s="42">
        <f>ROUND(((D81-E31)*(G31+1))/((G31-E31)*(D81+1))*100,5)</f>
        <v>59.06227</v>
      </c>
      <c r="C81" s="52">
        <f>ROUND((E13*((G31+1)/((G31-E31)*(D81+1)^2)))*((D81*(1+E31)))*10^3,3)</f>
        <v>70.95</v>
      </c>
      <c r="D81" s="32">
        <f>(2.71828183^(E13*A81+E11))</f>
        <v>1.442733464446796</v>
      </c>
    </row>
    <row r="82" spans="1:4" ht="12.75">
      <c r="A82" s="50">
        <f>ROUND((E23+((E25-E23)/98)*51),2)</f>
        <v>4.84</v>
      </c>
      <c r="B82" s="42">
        <f>ROUND(((D82-E31)*(G31+1))/((G31-E31)*(D82+1))*100,5)</f>
        <v>65.3963</v>
      </c>
      <c r="C82" s="52">
        <f>ROUND((E13*((G31+1)/((G31-E31)*(D82+1)^2)))*((D82*(1+E31)))*10^3,3)</f>
        <v>66.404</v>
      </c>
      <c r="D82" s="32">
        <f>(2.71828183^(E13*A82+E11))</f>
        <v>1.8898607833602994</v>
      </c>
    </row>
    <row r="83" spans="1:4" ht="12.75">
      <c r="A83" s="50">
        <f>ROUND((E23+((E25-E23)/98)*52),2)</f>
        <v>5.76</v>
      </c>
      <c r="B83" s="42">
        <f>ROUND(((D83-E31)*(G31+1))/((G31-E31)*(D83+1))*100,5)</f>
        <v>71.22772</v>
      </c>
      <c r="C83" s="52">
        <f>ROUND((E13*((G31+1)/((G31-E31)*(D83+1)^2)))*((D83*(1+E31)))*10^3,3)</f>
        <v>60.137</v>
      </c>
      <c r="D83" s="32">
        <f>(2.71828183^(E13*A83+E11))</f>
        <v>2.4755603640570545</v>
      </c>
    </row>
    <row r="84" spans="1:4" ht="12.75">
      <c r="A84" s="50">
        <f>ROUND((E23+((E25-E23)/98)*53),2)</f>
        <v>6.67</v>
      </c>
      <c r="B84" s="42">
        <f>ROUND(((D84-E31)*(G31+1))/((G31-E31)*(D84+1))*100,5)</f>
        <v>76.37772</v>
      </c>
      <c r="C84" s="52">
        <f>ROUND((E13*((G31+1)/((G31-E31)*(D84+1)^2)))*((D84*(1+E31)))*10^3,3)</f>
        <v>52.943</v>
      </c>
      <c r="D84" s="32">
        <f>(2.71828183^(E13*A84+E11))</f>
        <v>3.233276457961202</v>
      </c>
    </row>
    <row r="85" spans="1:4" ht="12.75">
      <c r="A85" s="50">
        <f>ROUND((E23+((E25-E23)/98)*54),2)</f>
        <v>7.59</v>
      </c>
      <c r="B85" s="42">
        <f>ROUND(((D85-E31)*(G31+1))/((G31-E31)*(D85+1))*100,5)</f>
        <v>80.89908</v>
      </c>
      <c r="C85" s="52">
        <f>ROUND((E13*((G31+1)/((G31-E31)*(D85+1)^2)))*((D85*(1+E31)))*10^3,3)</f>
        <v>45.344</v>
      </c>
      <c r="D85" s="32">
        <f>(2.71828183^(E13*A85+E11))</f>
        <v>4.235323107311419</v>
      </c>
    </row>
    <row r="86" spans="1:4" ht="12.75">
      <c r="A86" s="50">
        <f>ROUND((E23+((E25-E23)/98)*55),2)</f>
        <v>8.51</v>
      </c>
      <c r="B86" s="42">
        <f>ROUND(((D86-E31)*(G31+1))/((G31-E31)*(D86+1))*100,5)</f>
        <v>84.72809</v>
      </c>
      <c r="C86" s="52">
        <f>ROUND((E13*((G31+1)/((G31-E31)*(D86+1)^2)))*((D86*(1+E31)))*10^3,3)</f>
        <v>37.97</v>
      </c>
      <c r="D86" s="32">
        <f>(2.71828183^(E13*A86+E11))</f>
        <v>5.547920834037538</v>
      </c>
    </row>
    <row r="87" spans="1:4" ht="12.75">
      <c r="A87" s="50">
        <f>ROUND((E23+((E25-E23)/98)*56),2)</f>
        <v>9.43</v>
      </c>
      <c r="B87" s="42">
        <f>ROUND(((D87-E31)*(G31+1))/((G31-E31)*(D87+1))*100,5)</f>
        <v>87.9043</v>
      </c>
      <c r="C87" s="52">
        <f>ROUND((E13*((G31+1)/((G31-E31)*(D87+1)^2)))*((D87*(1+E31)))*10^3,3)</f>
        <v>31.201</v>
      </c>
      <c r="D87" s="32">
        <f>(2.71828183^(E13*A87+E11))</f>
        <v>7.267314630048743</v>
      </c>
    </row>
    <row r="88" spans="1:4" ht="12.75">
      <c r="A88" s="50">
        <f>ROUND((E23+((E25-E23)/98)*57),2)</f>
        <v>10.35</v>
      </c>
      <c r="B88" s="42">
        <f>ROUND(((D88-E31)*(G31+1))/((G31-E31)*(D88+1))*100,5)</f>
        <v>90.49405</v>
      </c>
      <c r="C88" s="52">
        <f>ROUND((E13*((G31+1)/((G31-E31)*(D88+1)^2)))*((D88*(1+E31)))*10^3,3)</f>
        <v>25.243</v>
      </c>
      <c r="D88" s="32">
        <f>(2.71828183^(E13*A88+E11))</f>
        <v>9.5195774258525</v>
      </c>
    </row>
    <row r="89" spans="1:4" ht="12.75">
      <c r="A89" s="50">
        <f>ROUND((E23+((E25-E23)/98)*58),2)</f>
        <v>11.27</v>
      </c>
      <c r="B89" s="42">
        <f>ROUND(((D89-E31)*(G31+1))/((G31-E31)*(D89+1))*100,5)</f>
        <v>92.57615</v>
      </c>
      <c r="C89" s="52">
        <f>ROUND((E13*((G31+1)/((G31-E31)*(D89+1)^2)))*((D89*(1+E31)))*10^3,3)</f>
        <v>20.168</v>
      </c>
      <c r="D89" s="32">
        <f>(2.71828183^(E13*A89+E11))</f>
        <v>12.469854269429456</v>
      </c>
    </row>
    <row r="90" spans="1:11" ht="12.75">
      <c r="A90" s="50">
        <f>ROUND((E23+((E25-E23)/98)*59),2)</f>
        <v>12.18</v>
      </c>
      <c r="B90" s="42">
        <f>ROUND(((D90-E31)*(G31+1))/((G31-E31)*(D90+1))*100,5)</f>
        <v>94.21532</v>
      </c>
      <c r="C90" s="52">
        <f>ROUND((E13*((G31+1)/((G31-E31)*(D90+1)^2)))*((D90*(1+E31)))*10^3,3)</f>
        <v>15.993</v>
      </c>
      <c r="D90" s="32">
        <f>(2.71828183^(E13*A90+E11))</f>
        <v>16.286610025326777</v>
      </c>
      <c r="K90" s="56"/>
    </row>
    <row r="91" spans="1:4" ht="12.75">
      <c r="A91" s="50">
        <f>ROUND((E23+((E25-E23)/98)*60),2)</f>
        <v>13.1</v>
      </c>
      <c r="B91" s="42">
        <f>ROUND(((D91-E31)*(G31+1))/((G31-E31)*(D91+1))*100,5)</f>
        <v>95.52269</v>
      </c>
      <c r="C91" s="52">
        <f>ROUND((E13*((G31+1)/((G31-E31)*(D91+1)^2)))*((D91*(1+E31)))*10^3,3)</f>
        <v>12.55</v>
      </c>
      <c r="D91" s="32">
        <f>(2.71828183^(E13*A91+E11))</f>
        <v>21.334103865504982</v>
      </c>
    </row>
    <row r="92" spans="1:4" ht="12.75">
      <c r="A92" s="50">
        <f>ROUND((E23+((E25-E23)/98)*61),2)</f>
        <v>14.02</v>
      </c>
      <c r="B92" s="42">
        <f>ROUND(((D92-E31)*(G31+1))/((G31-E31)*(D92+1))*100,5)</f>
        <v>96.54543</v>
      </c>
      <c r="C92" s="52">
        <f>ROUND((E13*((G31+1)/((G31-E31)*(D92+1)^2)))*((D92*(1+E31)))*10^3,3)</f>
        <v>9.787</v>
      </c>
      <c r="D92" s="32">
        <f>(2.71828183^(E13*A92+E11))</f>
        <v>27.945900775936494</v>
      </c>
    </row>
    <row r="93" spans="1:4" ht="12.75">
      <c r="A93" s="50">
        <f>ROUND((E23+((E25-E23)/98)*62),2)</f>
        <v>14.94</v>
      </c>
      <c r="B93" s="42">
        <f>ROUND(((D93-E31)*(G31+1))/((G31-E31)*(D93+1))*100,5)</f>
        <v>97.34106</v>
      </c>
      <c r="C93" s="52">
        <f>ROUND((E13*((G31+1)/((G31-E31)*(D93+1)^2)))*((D93*(1+E31)))*10^3,3)</f>
        <v>7.595</v>
      </c>
      <c r="D93" s="32">
        <f>(2.71828183^(E13*A93+E11))</f>
        <v>36.606804537088614</v>
      </c>
    </row>
    <row r="94" spans="1:4" ht="12.75">
      <c r="A94" s="50">
        <f>ROUND((E23+((E25-E23)/98)*63),2)</f>
        <v>15.86</v>
      </c>
      <c r="B94" s="42">
        <f>ROUND(((D94-E31)*(G31+1))/((G31-E31)*(D94+1))*100,5)</f>
        <v>97.95734</v>
      </c>
      <c r="C94" s="52">
        <f>ROUND((E13*((G31+1)/((G31-E31)*(D94+1)^2)))*((D94*(1+E31)))*10^3,3)</f>
        <v>5.872</v>
      </c>
      <c r="D94" s="32">
        <f>(2.71828183^(E13*A94+E11))</f>
        <v>47.951867759099095</v>
      </c>
    </row>
    <row r="95" spans="1:4" ht="12.75">
      <c r="A95" s="50">
        <f>ROUND((E23+((E25-E23)/98)*64),2)</f>
        <v>16.78</v>
      </c>
      <c r="B95" s="42">
        <f>ROUND(((D95-E31)*(G31+1))/((G31-E31)*(D95+1))*100,5)</f>
        <v>98.43308</v>
      </c>
      <c r="C95" s="52">
        <f>ROUND((E13*((G31+1)/((G31-E31)*(D95+1)^2)))*((D95*(1+E31)))*10^3,3)</f>
        <v>4.526</v>
      </c>
      <c r="D95" s="32">
        <f>(2.71828183^(E13*A95+E11))</f>
        <v>62.81295651622596</v>
      </c>
    </row>
    <row r="96" spans="1:4" ht="12.75">
      <c r="A96" s="50">
        <f>ROUND((E23+((E25+-E23)/98)*65),2)</f>
        <v>17.69</v>
      </c>
      <c r="B96" s="42">
        <f>ROUND(((D96-E31)*(G31+1))/((G31-E31)*(D96+1))*100,5)</f>
        <v>98.7959</v>
      </c>
      <c r="C96" s="52">
        <f>ROUND((E13*((G31+1)/((G31-E31)*(D96+1)^2)))*((D96*(1+E31)))*10^3,3)</f>
        <v>3.491</v>
      </c>
      <c r="D96" s="32">
        <f>(2.71828183^(E13*A96+E11))</f>
        <v>82.03865941124485</v>
      </c>
    </row>
    <row r="97" spans="1:4" ht="12.75">
      <c r="A97" s="50">
        <f>ROUND((E23+((E25+-E23)/98)*66),2)</f>
        <v>18.61</v>
      </c>
      <c r="B97" s="42">
        <f>ROUND(((D97-E31)*(G31+1))/((G31-E31)*(D97+1))*100,5)</f>
        <v>99.0782</v>
      </c>
      <c r="C97" s="52">
        <f>ROUND((E13*((G31+1)/((G31-E31)*(D97+1)^2)))*((D97*(1+E31)))*10^3,3)</f>
        <v>2.68</v>
      </c>
      <c r="D97" s="32">
        <f>(2.71828183^(E13*A97+E11))</f>
        <v>107.46381709542815</v>
      </c>
    </row>
    <row r="98" spans="1:4" ht="12.75">
      <c r="A98" s="50">
        <f>ROUND((E23+((E25-E23)/98)*67),2)</f>
        <v>19.53</v>
      </c>
      <c r="B98" s="42">
        <f>ROUND(((D98-E31)*(G31+1))/((G31-E31)*(D98+1))*100,5)</f>
        <v>99.29479</v>
      </c>
      <c r="C98" s="52">
        <f>ROUND((E13*((G31+1)/((G31-E31)*(D98+1)^2)))*((D98*(1+E31)))*10^3,3)</f>
        <v>2.055</v>
      </c>
      <c r="D98" s="32">
        <f>(2.71828183^(E13*A98+E11))</f>
        <v>140.76865794246186</v>
      </c>
    </row>
    <row r="99" spans="1:4" ht="12.75">
      <c r="A99" s="50">
        <f>ROUND((E23+((E25-E23)/98)*68),2)</f>
        <v>20.45</v>
      </c>
      <c r="B99" s="42">
        <f>ROUND(((D99-E31)*(G31+1))/((G31-E31)*(D99+1))*100,5)</f>
        <v>99.46078</v>
      </c>
      <c r="C99" s="52">
        <f>ROUND((E13*((G31+1)/((G31-E31)*(D99+1)^2)))*((D99*(1+E31)))*10^3,3)</f>
        <v>1.574</v>
      </c>
      <c r="D99" s="32">
        <f>(2.71828183^(E13*A99+E11))</f>
        <v>184.39522803591944</v>
      </c>
    </row>
    <row r="100" spans="1:4" ht="12.75">
      <c r="A100" s="50">
        <f>ROUND((E23+((E25-E23)/98)*69),2)</f>
        <v>21.37</v>
      </c>
      <c r="B100" s="42">
        <f>ROUND(((D100-E31)*(G31+1))/((G31-E31)*(D100+1))*100,5)</f>
        <v>99.58787</v>
      </c>
      <c r="C100" s="52">
        <f>ROUND((E13*((G31+1)/((G31-E31)*(D100+1)^2)))*((D100*(1+E31)))*10^3,3)</f>
        <v>1.205</v>
      </c>
      <c r="D100" s="32">
        <f>(2.71828183^(E13*A100+E11))</f>
        <v>241.54240453380348</v>
      </c>
    </row>
    <row r="101" spans="1:4" ht="12.75">
      <c r="A101" s="50">
        <f>ROUND((E23+((E25-E23)/98)*70),2)</f>
        <v>22.29</v>
      </c>
      <c r="B101" s="42">
        <f>ROUND(((D101-E31)*(G31+1))/((G31-E31)*(D101+1))*100,5)</f>
        <v>99.68511</v>
      </c>
      <c r="C101" s="52">
        <f>ROUND((E13*((G31+1)/((G31-E31)*(D101+1)^2)))*((D101*(1+E31)))*10^3,3)</f>
        <v>0.922</v>
      </c>
      <c r="D101" s="32">
        <f>(2.71828183^(E13*A101+E11))</f>
        <v>316.40045032296956</v>
      </c>
    </row>
    <row r="102" spans="1:4" ht="12.75">
      <c r="A102" s="50">
        <f>ROUND((E23+((E25-E23)/98)*71),2)</f>
        <v>23.2</v>
      </c>
      <c r="B102" s="42">
        <f>ROUND(((D102-E31)*(G31+1))/((G31-E31)*(D102+1))*100,5)</f>
        <v>99.75876</v>
      </c>
      <c r="C102" s="52">
        <f>ROUND((E13*((G31+1)/((G31-E31)*(D102+1)^2)))*((D102*(1+E31)))*10^3,3)</f>
        <v>0.707</v>
      </c>
      <c r="D102" s="32">
        <f>(2.71828183^(E13*A102+E11))</f>
        <v>413.24386275155376</v>
      </c>
    </row>
    <row r="103" spans="1:4" ht="12.75">
      <c r="A103" s="50">
        <f>ROUND((E23+((E25-E23)/98)*72),2)</f>
        <v>24.12</v>
      </c>
      <c r="B103" s="42">
        <f>ROUND(((D103-E31)*(G31+1))/((G31-E31)*(D103+1))*100,5)</f>
        <v>99.81577</v>
      </c>
      <c r="C103" s="52">
        <f>ROUND((E13*((G31+1)/((G31-E31)*(D103+1)^2)))*((D103*(1+E31)))*10^3,3)</f>
        <v>0.54</v>
      </c>
      <c r="D103" s="32">
        <f>(2.71828183^(E13*A103+E11))</f>
        <v>541.3150726894283</v>
      </c>
    </row>
    <row r="104" spans="1:4" ht="12.75">
      <c r="A104" s="50">
        <f>ROUND((E23+((E25-E23)/98)*73),2)</f>
        <v>25.04</v>
      </c>
      <c r="B104" s="42">
        <f>ROUND(((D104-E31)*(G31+1))/((G31-E31)*(D104+1))*100,5)</f>
        <v>99.85934</v>
      </c>
      <c r="C104" s="52">
        <f>ROUND((E13*((G31+1)/((G31-E31)*(D104+1)^2)))*((D104*(1+E31)))*10^3,3)</f>
        <v>0.413</v>
      </c>
      <c r="D104" s="32">
        <f>(2.71828183^(E13*A104+E11))</f>
        <v>709.0777004398691</v>
      </c>
    </row>
    <row r="105" spans="1:4" ht="12.75">
      <c r="A105" s="50">
        <f>ROUND((E23+((E25-E23)/98)*74),2)</f>
        <v>25.96</v>
      </c>
      <c r="B105" s="42">
        <f>ROUND(((D105-E31)*(G31+1))/((G31-E31)*(D105+1))*100,5)</f>
        <v>99.89262</v>
      </c>
      <c r="C105" s="52">
        <f>ROUND((E13*((G31+1)/((G31-E31)*(D105+1)^2)))*((D105*(1+E31)))*10^3,3)</f>
        <v>0.315</v>
      </c>
      <c r="D105" s="32">
        <f>(2.71828183^(E13*A105+E11))</f>
        <v>928.8327826584698</v>
      </c>
    </row>
    <row r="106" spans="1:4" ht="12.75">
      <c r="A106" s="50">
        <f>ROUND((E23+((E25-E23)/98)*75),2)</f>
        <v>26.88</v>
      </c>
      <c r="B106" s="42">
        <f>ROUND(((D106-E31)*(G31+1))/((G31-E31)*(D106+1))*100,5)</f>
        <v>99.91804</v>
      </c>
      <c r="C106" s="52">
        <f>ROUND((E13*((G31+1)/((G31-E31)*(D106+1)^2)))*((D106*(1+E10)))*10^3,3)</f>
        <v>0.241</v>
      </c>
      <c r="D106" s="32">
        <f>(2.71828183^(E13*A106+E11))</f>
        <v>1216.693653750343</v>
      </c>
    </row>
    <row r="107" spans="1:4" ht="12.75">
      <c r="A107" s="50">
        <f>ROUND((E23+((E25-E23)/98)*76),2)</f>
        <v>27.8</v>
      </c>
      <c r="B107" s="42">
        <f>ROUND(((D107-E31)*(G31+1))/((G31-E31)*(D107+1))*100,5)</f>
        <v>99.93746</v>
      </c>
      <c r="C107" s="52">
        <f>ROUND((E13*((G31+1)/((G31-E31)*(D107+1)^2)))*((D107*(1+E31)))*10^3,3)</f>
        <v>0.184</v>
      </c>
      <c r="D107" s="32">
        <f>(2.71828183^(E13*A107+E11))</f>
        <v>1593.7674409374074</v>
      </c>
    </row>
    <row r="108" spans="1:4" ht="12.75">
      <c r="A108" s="50">
        <f>ROUND((E23+((E25-E23)/98)*77),2)</f>
        <v>28.71</v>
      </c>
      <c r="B108" s="42">
        <f>ROUND(((D108-E31)*(G31+1))/((G31-E31)*(D108+1))*100,5)</f>
        <v>99.95215</v>
      </c>
      <c r="C108" s="52">
        <f>ROUND((E13*((G31+1)/((G31-E31)*(D108+1)^2)))*((D108*(1+E31)))*10^3,3)</f>
        <v>0.141</v>
      </c>
      <c r="D108" s="32">
        <f>(2.71828183^(E13*A108+E11))</f>
        <v>2081.5855759634505</v>
      </c>
    </row>
    <row r="109" spans="1:4" ht="12.75">
      <c r="A109" s="50">
        <f>ROUND((E23+((E25-E23)/98)*78),2)</f>
        <v>29.63</v>
      </c>
      <c r="B109" s="42">
        <f>ROUND(((D109-E31)*(G31+1))/((G31-E31)*(D109+1))*100,5)</f>
        <v>99.96351</v>
      </c>
      <c r="C109" s="52">
        <f>ROUND((E13*((G31+1)/((G31-E31)*(D109+1)^2)))*((D109*(1+E31)))*10^3,3)</f>
        <v>0.108</v>
      </c>
      <c r="D109" s="32">
        <f>(2.71828183^(E13*A109+E11))</f>
        <v>2726.7038882543725</v>
      </c>
    </row>
    <row r="110" spans="1:4" ht="12.75">
      <c r="A110" s="50">
        <f>ROUND((E23+((E25-E23)/98)*79),2)</f>
        <v>30.55</v>
      </c>
      <c r="B110" s="42">
        <f>ROUND(((D110-E31)*(G31+1))/((G31-E31)*(D110+1))*100,5)</f>
        <v>99.97218</v>
      </c>
      <c r="C110" s="52">
        <f>ROUND((E13*((G31+1)/((G31-E31)*(D110+1)^2)))*((D110*(1+E31)))*10^3,3)</f>
        <v>0.082</v>
      </c>
      <c r="D110" s="32">
        <f>(2.71828183^(E13*A110+E11))</f>
        <v>3571.7551947295383</v>
      </c>
    </row>
    <row r="111" spans="1:4" ht="12.75">
      <c r="A111" s="50">
        <f>ROUND((E23+((E25-E23)/98)*80),2)</f>
        <v>31.47</v>
      </c>
      <c r="B111" s="42">
        <f>ROUND(((D111-E31)*(G31+1))/((G31-E31)*(D111+1))*100,5)</f>
        <v>99.9788</v>
      </c>
      <c r="C111" s="52">
        <f>ROUND((E13*((G31+1)/((G31-E31)*(D111+1)^2)))*((D111*(1+E31)))*10^3,3)</f>
        <v>0.063</v>
      </c>
      <c r="D111" s="32">
        <f>(2.71828183^(E13*A111+E11))</f>
        <v>4678.702086439134</v>
      </c>
    </row>
    <row r="112" spans="1:4" ht="12.75">
      <c r="A112" s="50">
        <f>ROUND((E23+((E25-E23)/98)*81),2)</f>
        <v>32.39</v>
      </c>
      <c r="B112" s="42">
        <f>ROUND(((D112-E31)*(G31+1))/((G31-E31)*(D112+1))*100,5)</f>
        <v>99.98385</v>
      </c>
      <c r="C112" s="52">
        <f>ROUND((E13*((G31+1)/((G31-E31)*(D112+1)^2)))*((D112*(1+E31)))*10^3,3)</f>
        <v>0.048</v>
      </c>
      <c r="D112" s="32">
        <f>(2.71828183^(E13*A112+E11))</f>
        <v>6128.710401527809</v>
      </c>
    </row>
    <row r="113" spans="1:4" ht="12.75">
      <c r="A113" s="50">
        <f>ROUND((E23+((E25-E23)/98)*82),2)</f>
        <v>33.31</v>
      </c>
      <c r="B113" s="42">
        <f>ROUND(((D113-E31)*(G31+1))/((G31-E31)*(D113+1))*100,5)</f>
        <v>99.98771</v>
      </c>
      <c r="C113" s="52">
        <f>ROUND((E13*((G31+1)/((G31-E31)*(D113+1)^2)))*((D113*(1+E31)))*10^3,3)</f>
        <v>0.037</v>
      </c>
      <c r="D113" s="32">
        <f>(2.71828183^(E13*A113+E11))</f>
        <v>8028.10063386236</v>
      </c>
    </row>
    <row r="114" spans="1:4" ht="12.75">
      <c r="A114" s="50">
        <f>ROUND((E23+((E25-E23)/98)*83),2)</f>
        <v>34.22</v>
      </c>
      <c r="B114" s="42">
        <f>ROUND(((D114-E31)*(G31+1))/((G31-E31)*(D114+1))*100,5)</f>
        <v>99.99063</v>
      </c>
      <c r="C114" s="52">
        <f>ROUND((E13*((G31+1)/((G31-E31)*(D114+1)^2)))*((D114*(1+E31)))*10^3,3)</f>
        <v>0.028</v>
      </c>
      <c r="D114" s="32">
        <f>(2.71828183^(E13*A114+E11))</f>
        <v>10485.330577466118</v>
      </c>
    </row>
    <row r="115" spans="1:4" ht="12.75">
      <c r="A115" s="50">
        <f>ROUND((E23+((E25-E23)/98)*84),2)</f>
        <v>35.14</v>
      </c>
      <c r="B115" s="42">
        <f>ROUND(((D115-E31)*(G31+1))/((G31-E31)*(D115+1))*100,5)</f>
        <v>99.99289</v>
      </c>
      <c r="C115" s="52">
        <f>ROUND((E13*((G31+1)/((G31-E31)*(D115+1)^2)))*((D115*(1+E31)))*10^3,3)</f>
        <v>0.021</v>
      </c>
      <c r="D115" s="32">
        <f>(2.71828183^(E13*A115+E11))</f>
        <v>13734.910534233728</v>
      </c>
    </row>
    <row r="116" spans="1:4" ht="12.75">
      <c r="A116" s="50">
        <f>ROUND((E23+((E25-E23)/98)*85),2)</f>
        <v>36.06</v>
      </c>
      <c r="B116" s="42">
        <f>ROUND(((D116-E31)*(G31+1))/((G31-E31)*(D116+1))*100,5)</f>
        <v>99.99461</v>
      </c>
      <c r="C116" s="52">
        <f>ROUND((E13*((G31+1)/((G31-E31)*(D116+1)^2)))*((D116*(1+E31)))*10^3,3)</f>
        <v>0.016</v>
      </c>
      <c r="D116" s="32">
        <f>(2.71828183^(E13*A116+E11))</f>
        <v>17991.589868308492</v>
      </c>
    </row>
    <row r="117" spans="1:4" ht="12.75">
      <c r="A117" s="50">
        <f>ROUND((E23+((E25-E23)/98)*86),2)</f>
        <v>36.98</v>
      </c>
      <c r="B117" s="42">
        <f>ROUND(((D117-E31)*(G31+1))/((G31-E31)*(D117+1))*100,5)</f>
        <v>99.99592</v>
      </c>
      <c r="C117" s="52">
        <f>ROUND((E13*((G31+1)/((G31-E31)*(D117+1)^2)))*((D117*(1+E31)))*10^3,3)</f>
        <v>0.012</v>
      </c>
      <c r="D117" s="32">
        <f>(2.71828183^(E13*A117+E11))</f>
        <v>23567.485582277208</v>
      </c>
    </row>
    <row r="118" spans="1:4" ht="12.75">
      <c r="A118" s="50">
        <f>ROUND((E23+((E25-E23)/98)*87),2)</f>
        <v>37.9</v>
      </c>
      <c r="B118" s="42">
        <f>ROUND(((D118-E31)*(G31+1))/((G31-E31)*(D118+1))*100,5)</f>
        <v>99.99693</v>
      </c>
      <c r="C118" s="52">
        <f>ROUND((E13*((G31+1)/((G31-E31)*(D118+1)^2)))*((D118*(1+E31)))*10^3,3)</f>
        <v>0.01</v>
      </c>
      <c r="D118" s="32">
        <f>(2.71828183^(E13*A118+E11))</f>
        <v>30871.44497714495</v>
      </c>
    </row>
    <row r="119" spans="1:4" ht="12.75">
      <c r="A119" s="50">
        <f>ROUND((E23+((E25-E23)/98)*88),2)</f>
        <v>38.82</v>
      </c>
      <c r="B119" s="42">
        <f>ROUND(((D119-E31)*(G31+1))/((G31-E31)*(D119+1))*100,5)</f>
        <v>99.99769</v>
      </c>
      <c r="C119" s="52">
        <f>ROUND((E13*((G31+1)/((G31-E31)*(D119+1)^2)))*((D119*(1+E31)))*10^3,3)</f>
        <v>0.007</v>
      </c>
      <c r="D119" s="32">
        <f>(2.71828183^(E13*A119+E11))</f>
        <v>40439.02399556703</v>
      </c>
    </row>
    <row r="120" spans="1:4" ht="12.75">
      <c r="A120" s="50">
        <f>ROUND((E23+((E25-E23)/98)*89),2)</f>
        <v>39.73</v>
      </c>
      <c r="B120" s="42">
        <f>ROUND(((D120-E31)*(G31+1))/((G31-E31)*(D120+1))*100,5)</f>
        <v>99.99827</v>
      </c>
      <c r="C120" s="52">
        <f>ROUND((E13*((G31+1)/((G31-E31)*(D120+1)^2)))*((D120*(1+E31)))*10^3,3)</f>
        <v>0.006</v>
      </c>
      <c r="D120" s="32">
        <f>(2.71828183^(E13*A120+E11))</f>
        <v>52816.544555397355</v>
      </c>
    </row>
    <row r="121" spans="1:4" ht="12.75">
      <c r="A121" s="50">
        <f>ROUND((E23+((E25-E23)/98)*90),2)</f>
        <v>40.65</v>
      </c>
      <c r="B121" s="42">
        <f>ROUND(((D121-E31)*(G31+1))/((G31-E31)*(D121+1))*100,5)</f>
        <v>99.99872</v>
      </c>
      <c r="C121" s="52">
        <f>ROUND((E13*((G31+1)/((G31-E31)*(D121+1)^2)))*((D121*(1+E31)))*10^3,3)</f>
        <v>0.004</v>
      </c>
      <c r="D121" s="32">
        <f>(2.71828183^(E13*A121+E11))</f>
        <v>69185.2783120415</v>
      </c>
    </row>
    <row r="122" spans="1:4" ht="12.75">
      <c r="A122" s="50">
        <f>ROUND((E23+((E25-E23)/98)*91),2)</f>
        <v>41.57</v>
      </c>
      <c r="B122" s="42">
        <f>ROUND(((D122-E31)*(G31+1))/((G31-E31)*(D122+1))*100,5)</f>
        <v>99.99906</v>
      </c>
      <c r="C122" s="52">
        <f>ROUND((E13*((G31+1)/((G31-E31)*(D122+1)^2)))*((D122*(1+E31)))*10^3,3)</f>
        <v>0.003</v>
      </c>
      <c r="D122" s="32">
        <f>(2.71828183^(E13*A122+E11))</f>
        <v>90626.95743175995</v>
      </c>
    </row>
    <row r="123" spans="1:4" ht="12.75">
      <c r="A123" s="50">
        <f>ROUND((E23+((E25-E23)/98)*92),2)</f>
        <v>42.49</v>
      </c>
      <c r="B123" s="42">
        <f>ROUND(((D123-E31)*(G31+1))/((G31-E31)*(D123+1))*100,5)</f>
        <v>99.99932</v>
      </c>
      <c r="C123" s="52">
        <f>ROUND((E13*((G31+1)/((G31-E31)*(D123+1)^2)))*((D123*(1+E31)))*10^3,3)</f>
        <v>0.002</v>
      </c>
      <c r="D123" s="32">
        <f>(2.71828183^(E13*A123+E11))</f>
        <v>118713.77283899026</v>
      </c>
    </row>
    <row r="124" spans="1:4" ht="12.75">
      <c r="A124" s="50">
        <f>ROUND((E23+((E25-E23)/98)*93),2)</f>
        <v>43.41</v>
      </c>
      <c r="B124" s="42">
        <f>ROUND(((D124-E31)*(G31+1))/((G31-E31)*(D124+1))*100,5)</f>
        <v>99.99952</v>
      </c>
      <c r="C124" s="52">
        <f>ROUND((E13*((G31+1)/((G31-E31)*(D124+1)^2)))*((D124*(1+E31)))*10^3,3)</f>
        <v>0.002</v>
      </c>
      <c r="D124" s="32">
        <f>(2.71828183^(E13*A124+E11))</f>
        <v>155505.16381705782</v>
      </c>
    </row>
    <row r="125" spans="1:4" ht="12.75">
      <c r="A125" s="50">
        <f>ROUND((E23+((E25-E23)/98)*94),2)</f>
        <v>44.33</v>
      </c>
      <c r="B125" s="42">
        <f>ROUND(((D125-E31)*(G31+1))/((G31-E31)*(D125+1))*100,5)</f>
        <v>99.99968</v>
      </c>
      <c r="C125" s="52">
        <f>ROUND((E13*((G31+1)/((G31-E31)*(D125+1)^2)))*((D125*(1+E31)))*10^3,3)</f>
        <v>0.001</v>
      </c>
      <c r="D125" s="32">
        <f>(2.71828183^(E13*A125+E11))</f>
        <v>203698.82445373485</v>
      </c>
    </row>
    <row r="126" spans="1:4" ht="12.75">
      <c r="A126" s="50">
        <f>ROUND((E23+((E25-E23)/98)*95),2)</f>
        <v>45.24</v>
      </c>
      <c r="B126" s="42">
        <f>ROUND(((D126-E31)*(G31+1))/((G31-E31)*(D126+1))*100,5)</f>
        <v>99.99979</v>
      </c>
      <c r="C126" s="52">
        <f>ROUND((E13*((G31+1)/((G31-E31)*(D126+1)^2)))*((D126*(1+E31)))*10^3,3)</f>
        <v>0.001</v>
      </c>
      <c r="D126" s="32">
        <f>(2.71828183^(E13*A126+E11))</f>
        <v>266046.67904008087</v>
      </c>
    </row>
    <row r="127" spans="1:4" ht="12.75">
      <c r="A127" s="50">
        <f>ROUND((E23+((E25-E23)/98)*96),2)</f>
        <v>46.16</v>
      </c>
      <c r="B127" s="42">
        <f>ROUND(((D127-E31)*(G31+1))/((G31-E31)*(D127+1))*100,5)</f>
        <v>99.99988</v>
      </c>
      <c r="C127" s="52">
        <f>ROUND((E13*((G31+1)/((G31-E31)*(D127+1)^2)))*((D127*(1+E31)))*10^3,3)</f>
        <v>0.001</v>
      </c>
      <c r="D127" s="32">
        <f>(2.71828183^(E13*A127+E11))</f>
        <v>348499.01083696255</v>
      </c>
    </row>
    <row r="128" spans="1:4" ht="12.75">
      <c r="A128" s="50">
        <f>ROUND((E23+((E25-E23)/98)*97),2)</f>
        <v>47.08</v>
      </c>
      <c r="B128" s="42">
        <f>ROUND(((D128-E31)*(G31+1))/((G31-E31)*(D128+1))*100,5)</f>
        <v>99.99995</v>
      </c>
      <c r="C128" s="52">
        <f>ROUND((E13*((G31+1)/((G31-E31)*(D128+1)^2)))*((D128*(1+E31)))*10^3,3)</f>
        <v>0.001</v>
      </c>
      <c r="D128" s="32">
        <f>(2.71828183^(E13*A128+E11))</f>
        <v>456504.7043344025</v>
      </c>
    </row>
    <row r="129" spans="1:4" ht="13.5" thickBot="1">
      <c r="A129" s="50">
        <f>ROUND((E23+((E25-E23)/98)*98),2)</f>
        <v>48</v>
      </c>
      <c r="B129" s="42">
        <f>ROUND(((D129-E31)*(G31+1))/((G31-E31)*(D129+1))*100,5)</f>
        <v>100</v>
      </c>
      <c r="C129" s="52">
        <f>ROUND((E13*((G31+1)/((G31-E31)*(D129+1)^2)))*((D129*(1+E31)))*10^3,3)</f>
        <v>0</v>
      </c>
      <c r="D129" s="33">
        <f>(2.71828183^(E13*A129+E11))</f>
        <v>597983.1752720053</v>
      </c>
    </row>
    <row r="130" spans="1:3" ht="13.5" thickTop="1">
      <c r="A130" s="2"/>
      <c r="B130" s="2"/>
      <c r="C130" s="2"/>
    </row>
    <row r="131" spans="1:3" ht="12.75">
      <c r="A131" s="5"/>
      <c r="B131" s="5"/>
      <c r="C131" s="5"/>
    </row>
  </sheetData>
  <mergeCells count="2">
    <mergeCell ref="A29:C29"/>
    <mergeCell ref="D29:G29"/>
  </mergeCells>
  <hyperlinks>
    <hyperlink ref="D3" r:id="rId1" display="http://www.oekopriority.com/upload/download/ERWEITERUNG_TREND_SS_Teil_Statistik.pdf"/>
  </hyperlinks>
  <printOptions/>
  <pageMargins left="0.75" right="0.75" top="1" bottom="1" header="0.4921259845" footer="0.492125984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1"/>
  <sheetViews>
    <sheetView workbookViewId="0" topLeftCell="A1">
      <selection activeCell="H1" sqref="H1"/>
    </sheetView>
  </sheetViews>
  <sheetFormatPr defaultColWidth="11.421875" defaultRowHeight="12.75"/>
  <cols>
    <col min="1" max="1" width="14.57421875" style="0" customWidth="1"/>
    <col min="2" max="2" width="14.8515625" style="0" customWidth="1"/>
    <col min="3" max="3" width="13.7109375" style="0" customWidth="1"/>
    <col min="4" max="4" width="23.57421875" style="0" customWidth="1"/>
    <col min="5" max="5" width="19.7109375" style="0" customWidth="1"/>
    <col min="6" max="6" width="37.7109375" style="0" customWidth="1"/>
    <col min="7" max="7" width="18.00390625" style="0" customWidth="1"/>
  </cols>
  <sheetData>
    <row r="1" spans="1:7" ht="13.5" thickTop="1">
      <c r="A1" s="1"/>
      <c r="B1" s="2"/>
      <c r="C1" s="2"/>
      <c r="D1" s="2"/>
      <c r="E1" s="2"/>
      <c r="F1" s="2"/>
      <c r="G1" s="3"/>
    </row>
    <row r="2" spans="1:7" ht="12.75">
      <c r="A2" s="18" t="s">
        <v>0</v>
      </c>
      <c r="B2" s="5"/>
      <c r="C2" s="5"/>
      <c r="D2" s="5"/>
      <c r="E2" s="5"/>
      <c r="F2" s="5"/>
      <c r="G2" s="6"/>
    </row>
    <row r="3" spans="1:7" ht="12.75">
      <c r="A3" s="18" t="s">
        <v>1</v>
      </c>
      <c r="B3" s="19"/>
      <c r="C3" s="5"/>
      <c r="D3" s="84" t="s">
        <v>48</v>
      </c>
      <c r="E3" s="5"/>
      <c r="F3" s="5"/>
      <c r="G3" s="6"/>
    </row>
    <row r="4" spans="1:7" ht="12.75">
      <c r="A4" s="4"/>
      <c r="B4" s="5"/>
      <c r="C4" s="5"/>
      <c r="D4" s="5"/>
      <c r="E4" s="5"/>
      <c r="F4" s="5"/>
      <c r="G4" s="6"/>
    </row>
    <row r="5" spans="1:7" ht="18">
      <c r="A5" s="20" t="s">
        <v>2</v>
      </c>
      <c r="B5" s="5"/>
      <c r="C5" s="5"/>
      <c r="D5" s="5"/>
      <c r="E5" s="5"/>
      <c r="F5" s="5"/>
      <c r="G5" s="6"/>
    </row>
    <row r="6" spans="1:7" ht="18">
      <c r="A6" s="20" t="s">
        <v>3</v>
      </c>
      <c r="B6" s="5"/>
      <c r="C6" s="5"/>
      <c r="D6" s="5"/>
      <c r="E6" s="5"/>
      <c r="F6" s="5"/>
      <c r="G6" s="6"/>
    </row>
    <row r="7" spans="1:7" ht="12.75">
      <c r="A7" s="21" t="s">
        <v>38</v>
      </c>
      <c r="B7" s="5"/>
      <c r="C7" s="5"/>
      <c r="D7" s="5"/>
      <c r="E7" s="5"/>
      <c r="F7" s="5"/>
      <c r="G7" s="6"/>
    </row>
    <row r="8" ht="13.5" thickBot="1">
      <c r="H8" s="4"/>
    </row>
    <row r="9" spans="1:8" ht="14.25" thickBot="1" thickTop="1">
      <c r="A9" s="1"/>
      <c r="B9" s="2"/>
      <c r="C9" s="2"/>
      <c r="D9" s="2"/>
      <c r="E9" s="2"/>
      <c r="F9" s="2"/>
      <c r="G9" s="2"/>
      <c r="H9" s="5"/>
    </row>
    <row r="10" spans="1:7" ht="14.25" thickBot="1" thickTop="1">
      <c r="A10" s="1"/>
      <c r="B10" s="2"/>
      <c r="C10" s="2"/>
      <c r="D10" s="2"/>
      <c r="E10" s="2"/>
      <c r="F10" s="2"/>
      <c r="G10" s="3"/>
    </row>
    <row r="11" spans="1:7" ht="14.25" thickBot="1" thickTop="1">
      <c r="A11" s="18" t="s">
        <v>29</v>
      </c>
      <c r="B11" s="22"/>
      <c r="C11" s="5" t="s">
        <v>4</v>
      </c>
      <c r="D11" s="5"/>
      <c r="E11" s="11">
        <v>2.97954725</v>
      </c>
      <c r="F11" s="5" t="s">
        <v>46</v>
      </c>
      <c r="G11" s="6"/>
    </row>
    <row r="12" spans="1:7" ht="14.25" thickBot="1" thickTop="1">
      <c r="A12" s="4"/>
      <c r="B12" s="5"/>
      <c r="C12" s="5"/>
      <c r="D12" s="5"/>
      <c r="E12" s="7"/>
      <c r="F12" s="5"/>
      <c r="G12" s="6"/>
    </row>
    <row r="13" spans="1:7" ht="14.25" thickBot="1" thickTop="1">
      <c r="A13" s="4"/>
      <c r="B13" s="5"/>
      <c r="C13" s="5" t="s">
        <v>5</v>
      </c>
      <c r="D13" s="5"/>
      <c r="E13" s="11">
        <v>-0.59504092</v>
      </c>
      <c r="F13" s="5"/>
      <c r="G13" s="6"/>
    </row>
    <row r="14" spans="1:7" ht="14.25" thickBot="1" thickTop="1">
      <c r="A14" s="4"/>
      <c r="B14" s="5"/>
      <c r="C14" s="5"/>
      <c r="D14" s="5"/>
      <c r="E14" s="7"/>
      <c r="F14" s="5"/>
      <c r="G14" s="6"/>
    </row>
    <row r="15" spans="1:7" ht="14.25" thickBot="1" thickTop="1">
      <c r="A15" s="4"/>
      <c r="B15" s="5"/>
      <c r="C15" s="5" t="s">
        <v>8</v>
      </c>
      <c r="D15" s="5"/>
      <c r="E15" s="11">
        <v>1.832</v>
      </c>
      <c r="F15" s="5" t="s">
        <v>35</v>
      </c>
      <c r="G15" s="6"/>
    </row>
    <row r="16" spans="1:7" ht="13.5" thickTop="1">
      <c r="A16" s="4"/>
      <c r="B16" s="5"/>
      <c r="G16" s="6"/>
    </row>
    <row r="17" spans="1:7" ht="12.75">
      <c r="A17" s="4"/>
      <c r="B17" s="5"/>
      <c r="C17" s="5" t="s">
        <v>6</v>
      </c>
      <c r="D17" s="5"/>
      <c r="E17" s="23">
        <v>0.992066</v>
      </c>
      <c r="F17" s="5" t="s">
        <v>12</v>
      </c>
      <c r="G17" s="6"/>
    </row>
    <row r="18" spans="1:7" ht="12.75">
      <c r="A18" s="4"/>
      <c r="B18" s="5"/>
      <c r="C18" s="5"/>
      <c r="D18" s="5"/>
      <c r="E18" s="7"/>
      <c r="F18" s="5"/>
      <c r="G18" s="6"/>
    </row>
    <row r="19" spans="1:7" ht="12.75">
      <c r="A19" s="4"/>
      <c r="B19" s="5"/>
      <c r="C19" s="5" t="s">
        <v>7</v>
      </c>
      <c r="D19" s="5"/>
      <c r="E19" s="23">
        <v>3.175</v>
      </c>
      <c r="F19" s="5" t="s">
        <v>12</v>
      </c>
      <c r="G19" s="6"/>
    </row>
    <row r="20" spans="1:7" ht="12.75">
      <c r="A20" s="4"/>
      <c r="B20" s="5"/>
      <c r="C20" s="5"/>
      <c r="D20" s="5"/>
      <c r="E20" s="7"/>
      <c r="F20" s="5"/>
      <c r="G20" s="6"/>
    </row>
    <row r="21" spans="1:7" ht="12.75">
      <c r="A21" s="4"/>
      <c r="B21" s="5"/>
      <c r="C21" s="5" t="s">
        <v>9</v>
      </c>
      <c r="D21" s="5"/>
      <c r="E21" s="23">
        <v>2.447</v>
      </c>
      <c r="F21" s="5" t="s">
        <v>28</v>
      </c>
      <c r="G21" s="6"/>
    </row>
    <row r="22" spans="1:7" ht="13.5" thickBot="1">
      <c r="A22" s="4"/>
      <c r="B22" s="5"/>
      <c r="C22" s="5"/>
      <c r="D22" s="5"/>
      <c r="E22" s="7"/>
      <c r="F22" s="5"/>
      <c r="G22" s="6"/>
    </row>
    <row r="23" spans="1:7" ht="14.25" thickBot="1" thickTop="1">
      <c r="A23" s="18" t="s">
        <v>30</v>
      </c>
      <c r="B23" s="22"/>
      <c r="C23" s="5" t="s">
        <v>10</v>
      </c>
      <c r="D23" s="5"/>
      <c r="E23" s="25">
        <v>-3</v>
      </c>
      <c r="F23" s="5" t="s">
        <v>41</v>
      </c>
      <c r="G23" s="14">
        <f>ROUND((E15-3*(-0.962423/E13)),0)</f>
        <v>-3</v>
      </c>
    </row>
    <row r="24" spans="1:7" ht="14.25" thickBot="1" thickTop="1">
      <c r="A24" s="4"/>
      <c r="B24" s="5"/>
      <c r="C24" s="5"/>
      <c r="D24" s="5"/>
      <c r="E24" s="7"/>
      <c r="F24" s="5"/>
      <c r="G24" s="6"/>
    </row>
    <row r="25" spans="1:7" ht="14.25" thickBot="1" thickTop="1">
      <c r="A25" s="4"/>
      <c r="B25" s="5"/>
      <c r="C25" s="5" t="s">
        <v>11</v>
      </c>
      <c r="D25" s="5"/>
      <c r="E25" s="25">
        <v>18</v>
      </c>
      <c r="F25" s="5" t="s">
        <v>34</v>
      </c>
      <c r="G25" s="14">
        <f>ROUND(E15+10*(-0.962423/E13),0)</f>
        <v>18</v>
      </c>
    </row>
    <row r="26" spans="1:7" ht="13.5" thickTop="1">
      <c r="A26" s="24"/>
      <c r="B26" s="5"/>
      <c r="C26" s="5"/>
      <c r="D26" s="5"/>
      <c r="E26" s="5"/>
      <c r="F26" s="5"/>
      <c r="G26" s="6"/>
    </row>
    <row r="27" spans="1:7" ht="13.5" thickBot="1">
      <c r="A27" s="8"/>
      <c r="B27" s="9"/>
      <c r="C27" s="53" t="s">
        <v>27</v>
      </c>
      <c r="D27" s="54"/>
      <c r="E27" s="54"/>
      <c r="F27" s="9"/>
      <c r="G27" s="10"/>
    </row>
    <row r="28" spans="5:8" ht="14.25" thickBot="1" thickTop="1">
      <c r="E28" s="73"/>
      <c r="F28" s="73"/>
      <c r="G28" s="73"/>
      <c r="H28" s="73"/>
    </row>
    <row r="29" spans="1:10" ht="13.5" thickTop="1">
      <c r="A29" s="74" t="s">
        <v>13</v>
      </c>
      <c r="B29" s="75"/>
      <c r="C29" s="76"/>
      <c r="D29" s="72" t="s">
        <v>26</v>
      </c>
      <c r="E29" s="79"/>
      <c r="F29" s="79"/>
      <c r="G29" s="80"/>
      <c r="J29" s="56"/>
    </row>
    <row r="30" spans="1:7" ht="13.5" thickBot="1">
      <c r="A30" s="48" t="s">
        <v>18</v>
      </c>
      <c r="B30" s="43" t="s">
        <v>17</v>
      </c>
      <c r="C30" s="51" t="s">
        <v>42</v>
      </c>
      <c r="D30" s="34" t="s">
        <v>32</v>
      </c>
      <c r="E30" s="35" t="s">
        <v>14</v>
      </c>
      <c r="F30" s="36" t="s">
        <v>15</v>
      </c>
      <c r="G30" s="37" t="s">
        <v>16</v>
      </c>
    </row>
    <row r="31" spans="1:7" ht="14.25" thickBot="1" thickTop="1">
      <c r="A31" s="49">
        <f>ROUND((E23+((E25-E23)/98)*0),2)</f>
        <v>-3</v>
      </c>
      <c r="B31" s="60">
        <f>ROUND((((2.71828183^(D31))/(2.71828183^(G31)-2.71828183^(E31)))-(2.71828183^(E31))/(2.71828183^(G31)-2.71828183^(E31)))*100,5)</f>
        <v>0</v>
      </c>
      <c r="C31" s="61">
        <f>ROUND(((-E11*E13)/(2.71828183^(G31)-2.71828183^(E31)))*(2.71828183^(E13*A31+D31))*400,3)</f>
        <v>0</v>
      </c>
      <c r="D31" s="38">
        <f>(-E11*(2.71828183^(E13*A31)))</f>
        <v>-17.759030026661172</v>
      </c>
      <c r="E31" s="39">
        <f>(-E11*(2.71828183^(E13*E23)))</f>
        <v>-17.759030026661172</v>
      </c>
      <c r="F31" s="38">
        <f>(-E11*(2.71828183^(E13*E37)))</f>
        <v>-1.0016577659639447</v>
      </c>
      <c r="G31" s="40">
        <f>(-E11*(2.71828183^(E13*E25)))</f>
        <v>-6.645635067597211E-05</v>
      </c>
    </row>
    <row r="32" spans="1:7" ht="14.25" thickBot="1" thickTop="1">
      <c r="A32" s="50">
        <f>ROUND((E23+((E25-E23)/98)*1),2)</f>
        <v>-2.79</v>
      </c>
      <c r="B32" s="62">
        <f>ROUND((((2.71828183^(D32))/(2.71828183^G31-2.71828183^(E31)))-(2.71828183^(E31))/(2.71828183^(G31)-2.71828183^(E31)))*100,2)</f>
        <v>0</v>
      </c>
      <c r="C32" s="63">
        <f>ROUND(((-E11*E13)/(2.71828183^(G31)-2.71828183^(E31)))*(2.71828183^(E13*A32+D32))*400,3)</f>
        <v>0.001</v>
      </c>
      <c r="D32" s="38">
        <f>(-E11*(2.71828183^(E13*A32)))</f>
        <v>-15.672937943096327</v>
      </c>
      <c r="E32" s="2"/>
      <c r="F32" s="2"/>
      <c r="G32" s="3"/>
    </row>
    <row r="33" spans="1:7" ht="14.25" thickBot="1" thickTop="1">
      <c r="A33" s="50">
        <f>ROUND((E23+((E25-E23)/98)*2),2)</f>
        <v>-2.57</v>
      </c>
      <c r="B33" s="62">
        <f>ROUND((((2.71828183^(D33))/(2.71828183^G31-2.71828183^(E31)))-(2.71828183^(E31)/(2.71828183^(G31)-2.71828183^(E31))))*100,2)</f>
        <v>0</v>
      </c>
      <c r="C33" s="63">
        <f>ROUND(((-E11*E13)/(2.71828183^(G31)-2.71828183^(E31)))*(2.71828183^(E13*A33+D33))*400,3)</f>
        <v>0.003</v>
      </c>
      <c r="D33" s="38">
        <f>(-E11*(2.71828183^(E13*A33)))</f>
        <v>-13.749830884276042</v>
      </c>
      <c r="E33" s="45"/>
      <c r="F33" s="77" t="s">
        <v>36</v>
      </c>
      <c r="G33" s="78"/>
    </row>
    <row r="34" spans="1:7" ht="14.25" thickBot="1" thickTop="1">
      <c r="A34" s="50">
        <f>ROUND((E23+((E25-E23)/98)*3),2)</f>
        <v>-2.36</v>
      </c>
      <c r="B34" s="62">
        <f>ROUND((((2.71828183^(D34))/(2.71828183^G31-2.71828183^(E31)))-(2.71828183^(E31)/(2.71828183^(G31)-2.71828183^(E31))))*100,2)</f>
        <v>0</v>
      </c>
      <c r="C34" s="63">
        <f>ROUND(((-E11*E13)/(2.71828183^(G31)-2.71828183^(E31)))*(2.71828183^(E13*A34+D34))*400,3)</f>
        <v>0.016</v>
      </c>
      <c r="D34" s="38">
        <f>(-E11*(2.71828183^(E13*A34)))</f>
        <v>-12.134685613673879</v>
      </c>
      <c r="E34" s="82" t="s">
        <v>19</v>
      </c>
      <c r="F34" s="5"/>
      <c r="G34" s="6"/>
    </row>
    <row r="35" spans="1:7" ht="14.25" thickBot="1" thickTop="1">
      <c r="A35" s="50">
        <f>ROUND((E23+((E25-E23)/98)*4),2)</f>
        <v>-2.14</v>
      </c>
      <c r="B35" s="62">
        <f>ROUND((((2.71828183^(D35))/(2.71828183^G31-2.71828183^(E31)))-(2.71828183^(E31)/(2.71828183^(G31)-2.71828183^(E31))))*100,2)</f>
        <v>0</v>
      </c>
      <c r="C35" s="63">
        <f>ROUND(((-E11*E13)/(2.71828183^(G31)-2.71828183^(E31)))*(2.71828183^(E13*A35+D35))*400,3)</f>
        <v>0.06</v>
      </c>
      <c r="D35" s="38">
        <f>(-E11*(2.71828183^(E13*A35)))</f>
        <v>-10.645730598031745</v>
      </c>
      <c r="E35" s="27">
        <v>50</v>
      </c>
      <c r="F35" s="7" t="s">
        <v>20</v>
      </c>
      <c r="G35" s="12">
        <f>ROUND((LN(LN(0.01*E35*(2.71828183^(G31)-2.71828183^(E31))+(2.71828183^(E31)))/(-E11)))/(E13),3)</f>
        <v>2.451</v>
      </c>
    </row>
    <row r="36" spans="1:7" ht="14.25" thickBot="1" thickTop="1">
      <c r="A36" s="50">
        <f>ROUND((E23+((E25-E23)/98)*5),2)</f>
        <v>-1.93</v>
      </c>
      <c r="B36" s="62">
        <f>ROUND((((2.71828183^(D36))/(2.71828183^G31-2.71828183^(E31)))-(2.71828183^(E31)/(2.71828183^(G31)-2.71828183^(E31))))*100,2)</f>
        <v>0.01</v>
      </c>
      <c r="C36" s="63">
        <f>ROUND(((-E11*E13)/(2.71828183^(G31)-2.71828183^(E31)))*(2.71828183^(E13*A36+D36))*400,3)</f>
        <v>0.186</v>
      </c>
      <c r="D36" s="38">
        <f>(-E11*(2.71828183^(E13*A36)))</f>
        <v>-9.395213295511402</v>
      </c>
      <c r="E36" s="83" t="s">
        <v>21</v>
      </c>
      <c r="F36" s="7"/>
      <c r="G36" s="13"/>
    </row>
    <row r="37" spans="1:7" ht="14.25" thickBot="1" thickTop="1">
      <c r="A37" s="50">
        <f>ROUND((E23+((E25-E23)/98)*6),2)</f>
        <v>-1.71</v>
      </c>
      <c r="B37" s="62">
        <f>ROUND((((2.71828183^(D37))/(2.71828183^G31-2.71828183^(E31)))-(2.71828183^(E31)/(2.71828183^(G31)-2.71828183^(E31))))*100,2)</f>
        <v>0.03</v>
      </c>
      <c r="C37" s="63">
        <f>ROUND(((-E11*E13)/(2.71828183^(G31)-2.71828183^(E31)))*(2.71828183^(E13*A37+D37))*400,3)</f>
        <v>0.516</v>
      </c>
      <c r="D37" s="38">
        <f>(-E11*(2.71828183^(E13*A37)))</f>
        <v>-8.242398100726636</v>
      </c>
      <c r="E37" s="27">
        <v>1.832</v>
      </c>
      <c r="F37" s="7" t="s">
        <v>22</v>
      </c>
      <c r="G37" s="12">
        <f>ROUND((((2.71828183^(F31))/(2.71828183^G31-2.71828183^(E31)))-(2.71828183^(E31)/(2.71828183^(G31)-2.71828183^(E31))))*100,3)</f>
        <v>36.729</v>
      </c>
    </row>
    <row r="38" spans="1:7" ht="14.25" thickBot="1" thickTop="1">
      <c r="A38" s="50">
        <f>ROUND((E23+((E25-E23)/98)*7),2)</f>
        <v>-1.5</v>
      </c>
      <c r="B38" s="62">
        <f>ROUND((((2.71828183^(D38))/(2.71828183^G31-2.71828183^(E31)))-(2.71828183^(E31)/(2.71828183^(G31)-2.71828183^(E31))))*100,2)</f>
        <v>0.07</v>
      </c>
      <c r="C38" s="63">
        <f>ROUND(((-E11*E13)/(2.71828183^(G31)-2.71828183^(E31)))*(2.71828183^(E13*A38+D38))*400,3)</f>
        <v>1.2</v>
      </c>
      <c r="D38" s="38">
        <f>(-E11*(2.71828183^(E13*A38)))</f>
        <v>-7.274191988022155</v>
      </c>
      <c r="E38" s="2"/>
      <c r="F38" s="15" t="s">
        <v>31</v>
      </c>
      <c r="G38" s="26"/>
    </row>
    <row r="39" spans="1:11" ht="14.25" thickBot="1" thickTop="1">
      <c r="A39" s="50">
        <f>ROUND((E23+((E25-E23)/98)*8),2)</f>
        <v>-1.29</v>
      </c>
      <c r="B39" s="62">
        <f>ROUND((((2.71828183^(D39))/(2.71828183^G31-2.71828183^(E31)))-(2.71828183^(E31)/(2.71828183^(G31)-2.71828183^(E31))))*100,2)</f>
        <v>0.16</v>
      </c>
      <c r="C39" s="63">
        <f>ROUND(((-E11*E13)/(2.71828183^(G31)-2.71828183^(E31)))*(2.71828183^(E13*A39+D39))*400,3)</f>
        <v>2.489</v>
      </c>
      <c r="D39" s="38">
        <f>(-E11*(2.71828183^(E13*A39)))</f>
        <v>-6.419717712244563</v>
      </c>
      <c r="E39" s="15"/>
      <c r="F39" s="7" t="s">
        <v>23</v>
      </c>
      <c r="G39" s="12">
        <f>ROUND((LN(LN(0.5*(2.71828183^(G31)-2.71828183^(E31))+(2.71828183^(E31)))/(-E11)))/(E13),3)</f>
        <v>2.451</v>
      </c>
      <c r="K39" s="56"/>
    </row>
    <row r="40" spans="1:8" ht="14.25" thickBot="1" thickTop="1">
      <c r="A40" s="50">
        <f>ROUND((E23+((E25-E23)/98)*9),2)</f>
        <v>-1.07</v>
      </c>
      <c r="B40" s="62">
        <f>ROUND((((2.71828183^(D40))/(2.71828183^G31-2.71828183^(E31)))-(2.71828183^(E31)/(2.71828183^(G31)-2.71828183^(E31))))*100,2)</f>
        <v>0.36</v>
      </c>
      <c r="C40" s="63">
        <f>ROUND(((-E11*E13)/(2.71828183^(G31)-2.71828183^(E31)))*(2.71828183^(E13*A40+D40))*400,3)</f>
        <v>4.801</v>
      </c>
      <c r="D40" s="38">
        <f>(-E11*(2.71828183^(E13*A40)))</f>
        <v>-5.632002958771093</v>
      </c>
      <c r="E40" s="15"/>
      <c r="F40" s="7"/>
      <c r="G40" s="13"/>
      <c r="H40" s="59"/>
    </row>
    <row r="41" spans="1:7" ht="14.25" thickBot="1" thickTop="1">
      <c r="A41" s="50">
        <f>ROUND((E23+((E25-E23)/98)*10),2)</f>
        <v>-0.86</v>
      </c>
      <c r="B41" s="62">
        <f>ROUND((((2.71828183^(D41))/(2.71828183^G31-2.71828183^(E31)))-(2.71828183^(E31)/(2.71828183^(G31)-2.71828183^(E31))))*100,2)</f>
        <v>0.69</v>
      </c>
      <c r="C41" s="63">
        <f>ROUND(((-E11*E13)/(2.71828183^(G31)-2.71828183^(E31)))*(2.71828183^(E13*A41+D41))*400,3)</f>
        <v>8.211</v>
      </c>
      <c r="D41" s="38">
        <f>(-E11*(2.71828183^(E13*A41)))</f>
        <v>-4.970430971490938</v>
      </c>
      <c r="E41" s="15"/>
      <c r="F41" s="7" t="s">
        <v>24</v>
      </c>
      <c r="G41" s="14">
        <f>(E15)</f>
        <v>1.832</v>
      </c>
    </row>
    <row r="42" spans="1:7" ht="14.25" thickBot="1" thickTop="1">
      <c r="A42" s="50">
        <f>ROUND((E23+((E25-E23)/98)*11),2)</f>
        <v>-0.64</v>
      </c>
      <c r="B42" s="62">
        <f>ROUND((((2.71828183^(D42))/(2.71828183^G31-2.71828183^(E31)))-(2.71828183^(E31)/(2.71828183^(G31)-2.71828183^(E31))))*100,2)</f>
        <v>1.28</v>
      </c>
      <c r="C42" s="63">
        <f>ROUND(((-E11*E13)/(2.71828183^(G31)-2.71828183^(E31)))*(2.71828183^(E13*A42+D42))*400,3)</f>
        <v>13.256</v>
      </c>
      <c r="D42" s="38">
        <f>(-E11*(2.71828183^(E13*A42)))</f>
        <v>-4.360547175526339</v>
      </c>
      <c r="E42" s="15"/>
      <c r="F42" s="7"/>
      <c r="G42" s="13"/>
    </row>
    <row r="43" spans="1:7" ht="14.25" thickBot="1" thickTop="1">
      <c r="A43" s="50">
        <f>ROUND((E23+((E25-E23)/98)*12),2)</f>
        <v>-0.43</v>
      </c>
      <c r="B43" s="62">
        <f>ROUND((((2.71828183^(D43))/(2.71828183^G31-2.71828183^(E31)))-(2.71828183^(E31)/(2.71828183^(G31)-2.71828183^(E31))))*100,2)</f>
        <v>2.13</v>
      </c>
      <c r="C43" s="63">
        <f>ROUND(((-E11*E13)/(2.71828183^(G31)-2.71828183^(E31)))*(2.71828183^(E13*A43+D43))*400,3)</f>
        <v>19.525</v>
      </c>
      <c r="D43" s="38">
        <f>(-E11*(2.71828183^(E13*A43)))</f>
        <v>-3.848328719382045</v>
      </c>
      <c r="E43" s="15"/>
      <c r="F43" s="7" t="s">
        <v>25</v>
      </c>
      <c r="G43" s="14">
        <f>(E19)</f>
        <v>3.175</v>
      </c>
    </row>
    <row r="44" spans="1:7" ht="14.25" thickBot="1" thickTop="1">
      <c r="A44" s="50">
        <f>ROUND((E23+((E25-E23)/98)*13),2)</f>
        <v>-0.21</v>
      </c>
      <c r="B44" s="62">
        <f>ROUND((((2.71828183^(D44))/(2.71828183^G31-2.71828183^(E31)))-(2.71828183^(E31)/(2.71828183^(G31)-2.71828183^(E31))))*100,2)</f>
        <v>3.42</v>
      </c>
      <c r="C44" s="63">
        <f>ROUND(((-E11*E13)/(2.71828183^(G31)-2.71828183^(E31)))*(2.71828183^(E13*A44+D44))*400,3)</f>
        <v>27.468</v>
      </c>
      <c r="D44" s="38">
        <f>(-E11*(2.71828183^(E13*A44)))</f>
        <v>-3.3761295598004595</v>
      </c>
      <c r="E44" s="16"/>
      <c r="F44" s="16"/>
      <c r="G44" s="17"/>
    </row>
    <row r="45" spans="1:10" ht="14.25" thickBot="1" thickTop="1">
      <c r="A45" s="50">
        <f>ROUND((E23+((E25-E23)/98)*14),2)</f>
        <v>0</v>
      </c>
      <c r="B45" s="62">
        <f>ROUND((((2.71828183^(D45))/(2.71828183^G31-2.71828183^(E31)))-(2.71828183^(E31)/(2.71828183^(G31)-2.71828183^(E31))))*100,2)</f>
        <v>5.08</v>
      </c>
      <c r="C45" s="63">
        <f>ROUND(((-E11*E13)/(2.71828183^(G31)-2.71828183^(E31)))*(2.71828183^(E13*A45+D45))*400,3)</f>
        <v>36.04</v>
      </c>
      <c r="D45" s="38">
        <f>(-E11*(2.71828183^(E13*A45)))</f>
        <v>-2.97954725</v>
      </c>
      <c r="J45" s="56"/>
    </row>
    <row r="46" spans="1:4" ht="14.25" thickBot="1" thickTop="1">
      <c r="A46" s="50">
        <f>ROUND((E23+((E25-E23)/98)*15),2)</f>
        <v>0.21</v>
      </c>
      <c r="B46" s="62">
        <f>ROUND((((2.71828183^(D46))/(2.71828183^G31-2.71828183^(E31)))-(2.71828183^(E31)/(2.71828183^(G31)-2.71828183^(E31))))*100,2)</f>
        <v>7.21</v>
      </c>
      <c r="C46" s="63">
        <f>ROUND(((-E11*E13)/(2.71828183^(G31)-2.71828183^(E31)))*(2.71828183^(E13*A46+D46))*400,3)</f>
        <v>45.135</v>
      </c>
      <c r="D46" s="38">
        <f>(-E11*(2.71828183^(E13*A46)))</f>
        <v>-2.6295500980440054</v>
      </c>
    </row>
    <row r="47" spans="1:4" ht="14.25" thickBot="1" thickTop="1">
      <c r="A47" s="50">
        <f>ROUND((E23+((E25-E23)/98)*16),2)</f>
        <v>0.43</v>
      </c>
      <c r="B47" s="62">
        <f>ROUND((((2.71828183^(D47))/(2.71828183^G31-2.71828183^(E31)))-(2.71828183^(E31)/(2.71828183^(G31)-2.71828183^(E31))))*100,2)</f>
        <v>9.96</v>
      </c>
      <c r="C47" s="63">
        <f>ROUND(((-E11*E13)/(2.71828183^(G31)-2.71828183^(E31)))*(2.71828183^(E13*A47+D47))*400,3)</f>
        <v>54.675</v>
      </c>
      <c r="D47" s="38">
        <f>(-E11*(2.71828183^(E13*A47)))</f>
        <v>-2.3068979971149974</v>
      </c>
    </row>
    <row r="48" spans="1:4" ht="14.25" thickBot="1" thickTop="1">
      <c r="A48" s="50">
        <f>ROUND((E23+((E25-E23)/98)*17),2)</f>
        <v>0.64</v>
      </c>
      <c r="B48" s="62">
        <f>ROUND((((2.71828183^(D48))/(2.71828183^G31-2.71828183^(E31)))-(2.71828183^(E31)/(2.71828183^(G31)-2.71828183^(E31))))*100,2)</f>
        <v>13.06</v>
      </c>
      <c r="C48" s="63">
        <f>ROUND(((-E11*E13)/(2.71828183^(G31)-2.71828183^(E31)))*(2.71828183^(E13*A48+D48))*400,3)</f>
        <v>63.272</v>
      </c>
      <c r="D48" s="38">
        <f>(-E11*(2.71828183^(E13*A48)))</f>
        <v>-2.035914635853236</v>
      </c>
    </row>
    <row r="49" spans="1:4" ht="14.25" thickBot="1" thickTop="1">
      <c r="A49" s="50">
        <f>ROUND((E23+((E25-E23)/98)*18),2)</f>
        <v>0.86</v>
      </c>
      <c r="B49" s="62">
        <f>ROUND((((2.71828183^(D49))/(2.71828183^G31-2.71828183^(E31)))-(2.71828183^(E31)/(2.71828183^(G31)-2.71828183^(E31))))*100,2)</f>
        <v>16.76</v>
      </c>
      <c r="C49" s="63">
        <f>ROUND(((-E11*E13)/(2.71828183^(G31)-2.71828183^(E31)))*(2.71828183^(E13*A49+D49))*400,3)</f>
        <v>71.26</v>
      </c>
      <c r="D49" s="38">
        <f>(-E11*(2.71828183^(E13*A49)))</f>
        <v>-1.7861030292750637</v>
      </c>
    </row>
    <row r="50" spans="1:4" ht="14.25" thickBot="1" thickTop="1">
      <c r="A50" s="50">
        <f>ROUND((E23+((E25-E23)/98)*19),2)</f>
        <v>1.07</v>
      </c>
      <c r="B50" s="62">
        <f>ROUND((((2.71828183^(D50))/(2.71828183^G31-2.71828183^(E31)))-(2.71828183^(E31)/(2.71828183^(G31)-2.71828183^(E31))))*100,2)</f>
        <v>20.68</v>
      </c>
      <c r="C50" s="63">
        <f>ROUND(((-E11*E13)/(2.71828183^(G31)-2.71828183^(E31)))*(2.71828183^(E13*A50+D50))*400,3)</f>
        <v>77.571</v>
      </c>
      <c r="D50" s="38">
        <f>(-E11*(2.71828183^(E13*A50)))</f>
        <v>-1.5762956589283619</v>
      </c>
    </row>
    <row r="51" spans="1:6" ht="14.25" thickBot="1" thickTop="1">
      <c r="A51" s="50">
        <f>ROUND((E23+((E25-E23)/98)*20),2)</f>
        <v>1.29</v>
      </c>
      <c r="B51" s="62">
        <f>ROUND((((2.71828183^(D51))/(2.71828183^G31-2.71828183^(E31)))-(2.71828183^(E31)/(2.71828183^(G31)-2.71828183^(E31))))*100,2)</f>
        <v>25.09</v>
      </c>
      <c r="C51" s="63">
        <f>ROUND(((-E11*E13)/(2.71828183^(G31)-2.71828183^(E31)))*(2.71828183^(E13*A51+D51))*400,3)</f>
        <v>82.574</v>
      </c>
      <c r="D51" s="38">
        <f>(-E11*(2.71828183^(E13*A51)))</f>
        <v>-1.3828804026771764</v>
      </c>
      <c r="F51" s="5"/>
    </row>
    <row r="52" spans="1:9" ht="14.25" thickBot="1" thickTop="1">
      <c r="A52" s="50">
        <f>ROUND((E23+((E25-E23)/98)*21),2)</f>
        <v>1.5</v>
      </c>
      <c r="B52" s="62">
        <f>ROUND((((2.71828183^(D52))/(2.71828183^G31-2.71828183^(E31)))-(2.71828183^(E31)/(2.71828183^(G31)-2.71828183^(E31))))*100,2)</f>
        <v>29.51</v>
      </c>
      <c r="C52" s="63">
        <f>ROUND(((-E11*E13)/(2.71828183^(G31)-2.71828183^(E31)))*(2.71828183^(E13*A52+D52))*400,3)</f>
        <v>85.728</v>
      </c>
      <c r="D52" s="38">
        <f>(-E11*(2.71828183^(E13*A52)))</f>
        <v>-1.220438205315557</v>
      </c>
      <c r="I52" s="66"/>
    </row>
    <row r="53" spans="1:5" ht="14.25" thickBot="1" thickTop="1">
      <c r="A53" s="50">
        <f>ROUND((E23+((E25-E23)/98)*22),2)</f>
        <v>1.71</v>
      </c>
      <c r="B53" s="62">
        <f>ROUND((((2.71828183^(D53))/(2.71828183^G31-2.71828183^(E31)))-(2.71828183^(E31)/(2.71828183^(G31)-2.71828183^(E31))))*100,2)</f>
        <v>34.06</v>
      </c>
      <c r="C53" s="63">
        <f>ROUND(((-E11*E13)/(2.71828183^(G31)-2.71828183^(E31)))*(2.71828183^(E13*A53+D53))*400,3)</f>
        <v>87.32</v>
      </c>
      <c r="D53" s="38">
        <f>(-E11*(2.71828183^(E13*A53)))</f>
        <v>-1.0770775333212697</v>
      </c>
      <c r="E53" s="30"/>
    </row>
    <row r="54" spans="1:4" ht="14.25" thickBot="1" thickTop="1">
      <c r="A54" s="50">
        <f>ROUND((E23+((E25-E23)/98)*23),2)</f>
        <v>1.93</v>
      </c>
      <c r="B54" s="62">
        <f>ROUND((((2.71828183^(D54))/(2.71828183^G31-2.71828183^(E31)))-(2.71828183^(E31)/(2.71828183^(G31)-2.71828183^(E31))))*100,2)</f>
        <v>38.87</v>
      </c>
      <c r="C54" s="63">
        <f>ROUND(((-E11*E13)/(2.71828183^(G31)-2.71828183^(E31)))*(2.71828183^(E13*A54+D54))*400,3)</f>
        <v>87.429</v>
      </c>
      <c r="D54" s="38">
        <f>(-E11*(2.71828183^(E13*A54)))</f>
        <v>-0.9449175378726012</v>
      </c>
    </row>
    <row r="55" spans="1:4" ht="14.25" thickBot="1" thickTop="1">
      <c r="A55" s="50">
        <f>ROUND((E23+((E25-E23)/98)*24),2)</f>
        <v>2.14</v>
      </c>
      <c r="B55" s="62">
        <f>ROUND((((2.71828183^(D55))/(2.71828183^G31-2.71828183^(E31)))-(2.71828183^(E31)/(2.71828183^(G31)-2.71828183^(E31))))*100,2)</f>
        <v>43.44</v>
      </c>
      <c r="C55" s="63">
        <f>ROUND(((-E11*E13)/(2.71828183^(G31)-2.71828183^(E31)))*(2.71828183^(E13*A55+D55))*400,3)</f>
        <v>86.217</v>
      </c>
      <c r="D55" s="38">
        <f>(-E11*(2.71828183^(E13*A55)))</f>
        <v>-0.8339213296101944</v>
      </c>
    </row>
    <row r="56" spans="1:4" ht="14.25" thickBot="1" thickTop="1">
      <c r="A56" s="50">
        <f>ROUND((E23+((E25-E23)/98)*25),2)</f>
        <v>2.36</v>
      </c>
      <c r="B56" s="62">
        <f>ROUND((((2.71828183^(D56))/(2.71828183^G31-2.71828183^(E31)))-(2.71828183^(E31)/(2.71828183^(G31)-2.71828183^(E31))))*100,2)</f>
        <v>48.12</v>
      </c>
      <c r="C56" s="63">
        <f>ROUND(((-E11*E13)/(2.71828183^(G31)-2.71828183^(E31)))*(2.71828183^(E13*A56+D56))*400,3)</f>
        <v>83.787</v>
      </c>
      <c r="D56" s="38">
        <f>(-E11*(2.71828183^(E13*A56)))</f>
        <v>-0.7315971832825063</v>
      </c>
    </row>
    <row r="57" spans="1:4" ht="14.25" thickBot="1" thickTop="1">
      <c r="A57" s="50">
        <f>ROUND((E23+((E25-E23)/98)*26),2)</f>
        <v>2.57</v>
      </c>
      <c r="B57" s="62">
        <f>ROUND((((2.71828183^(D57))/(2.71828183^G31-2.71828183^(E31)))-(2.71828183^(E31)/(2.71828183^(G31)-2.71828183^(E31))))*100,2)</f>
        <v>52.44</v>
      </c>
      <c r="C57" s="63">
        <f>ROUND(((-E11*E13)/(2.71828183^(G31)-2.71828183^(E31)))*(2.71828183^(E13*A57+D57))*400,3)</f>
        <v>80.581</v>
      </c>
      <c r="D57" s="38">
        <f>(-E11*(2.71828183^(E13*A57)))</f>
        <v>-0.6456589822595474</v>
      </c>
    </row>
    <row r="58" spans="1:4" ht="14.25" thickBot="1" thickTop="1">
      <c r="A58" s="50">
        <f>ROUND((E23+((E25-E23)/98)*27),2)</f>
        <v>2.79</v>
      </c>
      <c r="B58" s="62">
        <f>ROUND((((2.71828183^(D58))/(2.71828183^G31-2.71828183^(E31)))-(2.71828183^(E31)/(2.71828183^(G31)-2.71828183^(E31))))*100,2)</f>
        <v>56.76</v>
      </c>
      <c r="C58" s="63">
        <f>ROUND(((-E11*E13)/(2.71828183^(G31)-2.71828183^(E31)))*(2.71828183^(E13*A58+D58))*400,3)</f>
        <v>76.522</v>
      </c>
      <c r="D58" s="38">
        <f>(-E11*(2.71828183^(E13*A58)))</f>
        <v>-0.5664350772787335</v>
      </c>
    </row>
    <row r="59" spans="1:4" ht="14.25" thickBot="1" thickTop="1">
      <c r="A59" s="50">
        <f>ROUND((E23+((E25-E23)/98)*28),2)</f>
        <v>3</v>
      </c>
      <c r="B59" s="62">
        <f>ROUND((((2.71828183^(D59))/(2.71828183^G31-2.71828183^(E31)))-(2.71828183^(E31)/(2.71828183^(G31)-2.71828183^(E31))))*100,2)</f>
        <v>60.66</v>
      </c>
      <c r="C59" s="63">
        <f>ROUND(((-E11*E13)/(2.71828183^(G31)-2.71828183^(E31)))*(2.71828183^(E13*A59+D59))*400,3)</f>
        <v>72.18</v>
      </c>
      <c r="D59" s="38">
        <f>(-E11*(2.71828183^(E13*A59)))</f>
        <v>-0.49989789992216344</v>
      </c>
    </row>
    <row r="60" spans="1:4" ht="14.25" thickBot="1" thickTop="1">
      <c r="A60" s="50">
        <f>ROUND((E23+((E25-E23)/98)*29),2)</f>
        <v>3.21</v>
      </c>
      <c r="B60" s="62">
        <f>ROUND((((2.71828183^(D60))/(2.71828183^G31-2.71828183^(E31)))-(2.71828183^(E31)/(2.71828183^(G31)-2.71828183^(E31))))*100,2)</f>
        <v>64.33</v>
      </c>
      <c r="C60" s="63">
        <f>ROUND(((-E11*E13)/(2.71828183^(G31)-2.71828183^(E31)))*(2.71828183^(E13*A60+D60))*400,3)</f>
        <v>67.553</v>
      </c>
      <c r="D60" s="38">
        <f>(-E11*(2.71828183^(E13*A60)))</f>
        <v>-0.44117661559229093</v>
      </c>
    </row>
    <row r="61" spans="1:4" ht="14.25" thickBot="1" thickTop="1">
      <c r="A61" s="50">
        <f>ROUND((E23+((E25-E23)/98)*30),2)</f>
        <v>3.43</v>
      </c>
      <c r="B61" s="62">
        <f>ROUND((((2.71828183^(D61))/(2.71828183^G31-2.71828183^(E31)))-(2.71828183^(E31)/(2.71828183^(G31)-2.71828183^(E31))))*100,2)</f>
        <v>67.91</v>
      </c>
      <c r="C61" s="63">
        <f>ROUND(((-E11*E13)/(2.71828183^(G31)-2.71828183^(E31)))*(2.71828183^(E13*A61+D61))*400,3)</f>
        <v>62.561</v>
      </c>
      <c r="D61" s="38">
        <f>(-E11*(2.71828183^(E13*A61)))</f>
        <v>-0.38704318721323583</v>
      </c>
    </row>
    <row r="62" spans="1:4" ht="14.25" thickBot="1" thickTop="1">
      <c r="A62" s="50">
        <f>ROUND((E23+((E25-E23)/98)*31),2)</f>
        <v>3.64</v>
      </c>
      <c r="B62" s="62">
        <f>ROUND((((2.71828183^(D62))/(2.71828183^G31-2.71828183^(E31)))-(2.71828183^(E31)/(2.71828183^(G31)-2.71828183^(E31))))*100,2)</f>
        <v>71.07</v>
      </c>
      <c r="C62" s="63">
        <f>ROUND(((-E11*E13)/(2.71828183^(G31)-2.71828183^(E31)))*(2.71828183^(E13*A62+D62))*400,3)</f>
        <v>57.78</v>
      </c>
      <c r="D62" s="38">
        <f>(-E11*(2.71828183^(E13*A62)))</f>
        <v>-0.34157855724014063</v>
      </c>
    </row>
    <row r="63" spans="1:4" ht="14.25" thickBot="1" thickTop="1">
      <c r="A63" s="50">
        <f>ROUND((E23+((E25-E23)/98)*32),2)</f>
        <v>3.86</v>
      </c>
      <c r="B63" s="62">
        <f>ROUND((((2.71828183^(D63))/(2.71828183^G31-2.71828183^(E31)))-(2.71828183^(E31)/(2.71828183^(G31)-2.71828183^(E31))))*100,2)</f>
        <v>74.11</v>
      </c>
      <c r="C63" s="63">
        <f>ROUND(((-E11*E13)/(2.71828183^(G31)-2.71828183^(E31)))*(2.71828183^(E13*A63+D63))*400,3)</f>
        <v>52.86</v>
      </c>
      <c r="D63" s="38">
        <f>(-E11*(2.71828183^(E13*A63)))</f>
        <v>-0.29966604939029534</v>
      </c>
    </row>
    <row r="64" spans="1:4" ht="14.25" thickBot="1" thickTop="1">
      <c r="A64" s="50">
        <f>ROUND((E23+((E25-E23)/98)*33),2)</f>
        <v>4.07</v>
      </c>
      <c r="B64" s="62">
        <f>ROUND((((2.71828183^(D64))/(2.71828183^(G31)-2.71828183^(E31)))-(2.71828183^(E31)/(2.71828183^(G31)-2.71828183^(E31))))*100,2)</f>
        <v>76.77</v>
      </c>
      <c r="C64" s="63">
        <f>ROUND(((-E11*E13)/(2.71828183^(G31)-2.71828183^(E31)))*(2.71828183^(E13*A64+D64))*400,3)</f>
        <v>48.322</v>
      </c>
      <c r="D64" s="38">
        <f>(-E11*(2.71828183^(E13*A64)))</f>
        <v>-0.26446531081348384</v>
      </c>
    </row>
    <row r="65" spans="1:6" ht="14.25" thickBot="1" thickTop="1">
      <c r="A65" s="50">
        <f>ROUND((E23+((E25-E23)/98)*34),2)</f>
        <v>4.29</v>
      </c>
      <c r="B65" s="62">
        <f>ROUND((((2.71828183^(D65))/(2.71828183^G31-2.71828183^(E31)))-(2.71828183^(E31)/(2.71828183^(G31)-2.71828183^(E31))))*100,2)</f>
        <v>79.3</v>
      </c>
      <c r="C65" s="63">
        <f>ROUND(((-E11*E13)/(2.71828183^(G31)-2.71828183^(E31)))*(2.71828183^(E13*A65+D65))*400,3)</f>
        <v>43.791</v>
      </c>
      <c r="D65" s="38">
        <f>(-E11*(2.71828183^(E13*A65)))</f>
        <v>-0.23201478316607874</v>
      </c>
      <c r="F65" s="56"/>
    </row>
    <row r="66" spans="1:4" ht="14.25" thickBot="1" thickTop="1">
      <c r="A66" s="50">
        <f>ROUND((E23+((E25-E23)/98)*35),2)</f>
        <v>4.5</v>
      </c>
      <c r="B66" s="62">
        <f>ROUND((((2.71828183^(D66))/(2.71828183^G31-2.71828183^(E31)))-(2.71828183^(E31)/(2.71828183^(G31)-2.71828183^(E31))))*100,2)</f>
        <v>81.49</v>
      </c>
      <c r="C66" s="63">
        <f>ROUND(((-E11*E13)/(2.71828183^(G31)-2.71828183^(E31)))*(2.71828183^(E13*A66+D66))*400,3)</f>
        <v>39.715</v>
      </c>
      <c r="D66" s="38">
        <f>(-E11*(2.71828183^(E13*A66)))</f>
        <v>-0.20476080579759928</v>
      </c>
    </row>
    <row r="67" spans="1:4" ht="14.25" thickBot="1" thickTop="1">
      <c r="A67" s="50">
        <f>ROUND((E23+((E25-E23)/98)*36),2)</f>
        <v>4.71</v>
      </c>
      <c r="B67" s="62">
        <f>ROUND((((2.71828183^(D67))/(2.71828183^G31-2.71828183^(E31)))-(2.71828183^(E31)/(2.71828183^(G31)-2.71828183^(E31))))*100,2)</f>
        <v>83.47</v>
      </c>
      <c r="C67" s="63">
        <f>ROUND(((-E11*E13)/(2.71828183^(G31)-2.71828183^(E31)))*(2.71828183^(E13*A67+D67))*400,3)</f>
        <v>35.903</v>
      </c>
      <c r="D67" s="38">
        <f>(-E11*(2.71828183^(E13*A67)))</f>
        <v>-0.18070825927014472</v>
      </c>
    </row>
    <row r="68" spans="1:4" ht="14.25" thickBot="1" thickTop="1">
      <c r="A68" s="50">
        <f>ROUND((E23+((E25-E23)/98)*37),2)</f>
        <v>4.93</v>
      </c>
      <c r="B68" s="62">
        <f>ROUND((((2.71828183^(D68))/(2.71828183^G31-2.71828183^(E31)))-(2.71828183^(E31)/(2.71828183^(G31)-2.71828183^(E31))))*100,2)</f>
        <v>85.34</v>
      </c>
      <c r="C68" s="63">
        <f>ROUND(((-E11*E13)/(2.71828183^(G31)-2.71828183^(E31)))*(2.71828183^(E13*A68+D68))*400,3)</f>
        <v>32.204</v>
      </c>
      <c r="D68" s="38">
        <f>(-E11*(2.71828183^(E13*A68)))</f>
        <v>-0.15853492264038935</v>
      </c>
    </row>
    <row r="69" spans="1:4" ht="14.25" thickBot="1" thickTop="1">
      <c r="A69" s="50">
        <f>ROUND((E23+((E25-E23)/98)*38),2)</f>
        <v>5.14</v>
      </c>
      <c r="B69" s="62">
        <f>ROUND((((2.71828183^(D69))/(2.71828183^G31-2.71828183^(E31)))-(2.71828183^(E31)/(2.71828183^(G31)-2.71828183^(E31))))*100,2)</f>
        <v>86.95</v>
      </c>
      <c r="C69" s="63">
        <f>ROUND(((-E11*E13)/(2.71828183^(G31)-2.71828183^(E31)))*(2.71828183^(E13*A69+D69))*400,3)</f>
        <v>28.955</v>
      </c>
      <c r="D69" s="38">
        <f>(-E11*(2.71828183^(E13*A69)))</f>
        <v>-0.13991237137536067</v>
      </c>
    </row>
    <row r="70" spans="1:4" ht="14.25" thickBot="1" thickTop="1">
      <c r="A70" s="50">
        <f>ROUND((E23+((E25-E23)/98)*39),2)</f>
        <v>5.36</v>
      </c>
      <c r="B70" s="62">
        <f>ROUND((((2.71828183^(D70))/(2.71828183^G31-2.71828183^(E31)))-(2.71828183^(E31)/(2.71828183^(G31)-2.71828183^(E31))))*100,2)</f>
        <v>88.45</v>
      </c>
      <c r="C70" s="63">
        <f>ROUND(((-E11*E13)/(2.71828183^(G31)-2.71828183^(E31)))*(2.71828183^(E13*A70+D70))*400,3)</f>
        <v>25.842</v>
      </c>
      <c r="D70" s="38">
        <f>(-E11*(2.71828183^(E13*A70)))</f>
        <v>-0.12274478799149607</v>
      </c>
    </row>
    <row r="71" spans="1:4" ht="14.25" thickBot="1" thickTop="1">
      <c r="A71" s="50">
        <f>ROUND((E23+((E25-E23)/98)*40),2)</f>
        <v>5.57</v>
      </c>
      <c r="B71" s="62">
        <f>ROUND((((2.71828183^(D71))/(2.71828183^G31-2.71828183^(E31)))-(2.71828183^(E31)/(2.71828183^(G31)-2.71828183^(E31))))*100,2)</f>
        <v>89.74</v>
      </c>
      <c r="C71" s="63">
        <f>ROUND(((-E11*E13)/(2.71828183^(G31)-2.71828183^(E31)))*(2.71828183^(E13*A71+D71))*400,3)</f>
        <v>23.138</v>
      </c>
      <c r="D71" s="38">
        <f>(-E11*(2.71828183^(E13*A71)))</f>
        <v>-0.10832638055913664</v>
      </c>
    </row>
    <row r="72" spans="1:4" ht="14.25" thickBot="1" thickTop="1">
      <c r="A72" s="50">
        <f>ROUND((E23+((E25-E23)/98)*41),2)</f>
        <v>5.79</v>
      </c>
      <c r="B72" s="62">
        <f>ROUND((((2.71828183^(D72))/(2.71828183^G31-2.71828183^(E31)))-(2.71828183^(E31)/(2.71828183^(G31)-2.71828183^(E31))))*100,2)</f>
        <v>90.94</v>
      </c>
      <c r="C72" s="63">
        <f>ROUND(((-E11*E13)/(2.71828183^(G31)-2.71828183^(E31)))*(2.71828183^(E13*A72+D72))*400,3)</f>
        <v>20.57</v>
      </c>
      <c r="D72" s="38">
        <f>(-E11*(2.71828183^(E13*A72)))</f>
        <v>-0.09503447397046218</v>
      </c>
    </row>
    <row r="73" spans="1:4" ht="14.25" thickBot="1" thickTop="1">
      <c r="A73" s="50">
        <f>ROUND((E23+((E25-E23)/98)*42),2)</f>
        <v>6</v>
      </c>
      <c r="B73" s="62">
        <f>ROUND((((2.71828183^(D73))/(2.71828183^G31-2.71828183^(E31)))-(2.71828183^(E31)/(2.71828183^(G31)-2.71828183^(E31))))*100,2)</f>
        <v>91.96</v>
      </c>
      <c r="C73" s="63">
        <f>ROUND(((-E11*E13)/(2.71828183^(G31)-2.71828183^(E31)))*(2.71828183^(E13*A73+D73))*400,3)</f>
        <v>18.358</v>
      </c>
      <c r="D73" s="38">
        <f>(-E11*(2.71828183^(E13*A73)))</f>
        <v>-0.08387110167378259</v>
      </c>
    </row>
    <row r="74" spans="1:4" ht="14.25" thickBot="1" thickTop="1">
      <c r="A74" s="50">
        <f>ROUND((E23+((E25-E23)/98)*43),2)</f>
        <v>6.21</v>
      </c>
      <c r="B74" s="62">
        <f>ROUND((((2.71828183^(D74))/(2.71828183^G31-2.71828183^(E31)))-(2.71828183^(E31)/(2.71828183^(G31)-2.71828183^(E31))))*100,2)</f>
        <v>92.87</v>
      </c>
      <c r="C74" s="63">
        <f>ROUND(((-E11*E13)/(2.71828183^(G31)-2.71828183^(E31)))*(2.71828183^(E13*A74+D74))*400,3)</f>
        <v>16.362</v>
      </c>
      <c r="D74" s="38">
        <f>(-E11*(2.71828183^(E13*A74)))</f>
        <v>-0.07401905226686832</v>
      </c>
    </row>
    <row r="75" spans="1:4" ht="14.25" thickBot="1" thickTop="1">
      <c r="A75" s="50">
        <f>ROUND((E23+((E25-E23)/98)*44),2)</f>
        <v>6.43</v>
      </c>
      <c r="B75" s="62">
        <f>ROUND((((2.71828183^(D75))/(2.71828183^G31-2.71828183^(E31)))-(2.71828183^(E31)/(2.71828183^(G31)-2.71828183^(E31))))*100,2)</f>
        <v>93.72</v>
      </c>
      <c r="C75" s="63">
        <f>ROUND(((-E11*E13)/(2.71828183^(G31)-2.71828183^(E31)))*(2.71828183^(E13*A75+D75))*400,3)</f>
        <v>14.485</v>
      </c>
      <c r="D75" s="38">
        <f>(-E11*(2.71828183^(E13*A75)))</f>
        <v>-0.06493673710563826</v>
      </c>
    </row>
    <row r="76" spans="1:4" ht="14.25" thickBot="1" thickTop="1">
      <c r="A76" s="50">
        <f>ROUND((E23+((E25-E23)/98)*45),2)</f>
        <v>6.64</v>
      </c>
      <c r="B76" s="62">
        <f>ROUND((((2.71828183^(D76))/(2.71828183^G31-2.71828183^(E31)))-(2.71828183^(E31)/(2.71828183^(G31)-2.71828183^(E7))))*100,2)</f>
        <v>94.47</v>
      </c>
      <c r="C76" s="63">
        <f>ROUND(((-E11*E13)/(2.71828183^(G31)-2.71828183^(E31)))*(2.71828183^(E13*A76+D76))*400,3)</f>
        <v>12.882</v>
      </c>
      <c r="D76" s="38">
        <f>(-E11*(2.71828183^(E13*A76)))</f>
        <v>-0.05730884228225911</v>
      </c>
    </row>
    <row r="77" spans="1:4" ht="14.25" thickBot="1" thickTop="1">
      <c r="A77" s="50">
        <f>ROUND((E23+((E25-E23)/98)*46),2)</f>
        <v>6.86</v>
      </c>
      <c r="B77" s="62">
        <f>ROUND((((2.71828183^(D77))/(2.71828183^G31-2.71828183^(E31)))-(2.71828183^(E31)/(2.71828183^(G31)-2.71828183^(E31))))*100,2)</f>
        <v>95.1</v>
      </c>
      <c r="C77" s="63">
        <f>ROUND(((-E11*E13)/(2.71828183^(G31)-2.71828183^(E31)))*(2.71828183^(E13*A77+D77))*400,3)</f>
        <v>11.381</v>
      </c>
      <c r="D77" s="38">
        <f>(-E11*(2.71828183^(E13*A77)))</f>
        <v>-0.05027690994602616</v>
      </c>
    </row>
    <row r="78" spans="1:4" ht="14.25" thickBot="1" thickTop="1">
      <c r="A78" s="50">
        <f>ROUND((E23+((E25-E23)/98)*47),2)</f>
        <v>7.07</v>
      </c>
      <c r="B78" s="62">
        <f>ROUND((((2.71828183^(D78))/(2.71828183^G31-2.71828183^(E31)))-(2.71828183^(E31)/(2.71828183^(G31)-2.71828183^(E31))))*100,2)</f>
        <v>95.67</v>
      </c>
      <c r="C78" s="63">
        <f>ROUND(((-E11*E13)/(2.71828183^(G31)-2.71828183^(E31)))*(2.71828183^(E13*A78+D78))*400,3)</f>
        <v>10.103</v>
      </c>
      <c r="D78" s="38">
        <f>(-E11*(2.71828183^(E13*A78)))</f>
        <v>-0.04437105452109305</v>
      </c>
    </row>
    <row r="79" spans="1:4" ht="14.25" thickBot="1" thickTop="1">
      <c r="A79" s="50">
        <f>ROUND((E23+((E25-E23)/98)*48),2)</f>
        <v>7.29</v>
      </c>
      <c r="B79" s="62">
        <f>ROUND((((2.71828183^(D79))/(2.71828183^G31-2.71828183^(E31)))-(2.71828183^(E31)/(2.71828183^(G31)-2.71828183^(E31))))*100,2)</f>
        <v>96.19</v>
      </c>
      <c r="C79" s="63">
        <f>ROUND(((-E11*E13)/(2.71828183^(G31)-2.71828183^(E31)))*(2.71828183^(E13*A79+D79))*400,3)</f>
        <v>8.912</v>
      </c>
      <c r="D79" s="38">
        <f>(-E11*(2.71828183^(E13*A79)))</f>
        <v>-0.038926619759300306</v>
      </c>
    </row>
    <row r="80" spans="1:4" ht="14.25" thickBot="1" thickTop="1">
      <c r="A80" s="50">
        <f>ROUND((E23+((E25-E23)/98)*49),2)</f>
        <v>7.5</v>
      </c>
      <c r="B80" s="62">
        <f>ROUND((((2.71828183^(D80))/(2.71828183^G31-2.71828183^(E31)))-(2.71828183^(E31)/(2.71828183^(G31)-2.71828183^(E31))))*100,2)</f>
        <v>96.63</v>
      </c>
      <c r="C80" s="63">
        <f>ROUND(((-E11*E13)/(2.71828183^(G31)-2.71828183^(E31)))*(2.71828183^(E13*A80+D80))*400,3)</f>
        <v>7.901</v>
      </c>
      <c r="D80" s="38">
        <f>(-E11*(2.71828183^(E13*A80)))</f>
        <v>-0.03435404382480923</v>
      </c>
    </row>
    <row r="81" spans="1:4" ht="14.25" thickBot="1" thickTop="1">
      <c r="A81" s="50">
        <f>ROUND((E23+((E25-E23)/98)*50),2)</f>
        <v>7.71</v>
      </c>
      <c r="B81" s="62">
        <f>ROUND((((2.71828183^(D81))/(2.71828183^G31-2.71828183^(E31)))-(2.71828183^(E31)/(2.71828183^(G31)-2.71828183^(E31))))*100,2)</f>
        <v>97.02</v>
      </c>
      <c r="C81" s="63">
        <f>ROUND(((-E11*E13)/(2.71828183^(G31)-2.71828183^(E31)))*(2.71828183^(E13*A81+D81))*400,3)</f>
        <v>7.001</v>
      </c>
      <c r="D81" s="38">
        <f>(-E11*(2.71828183^(E13*A81)))</f>
        <v>-0.030318592634412892</v>
      </c>
    </row>
    <row r="82" spans="1:4" ht="14.25" thickBot="1" thickTop="1">
      <c r="A82" s="50">
        <f>ROUND((E23+((E25-E23)/98)*51),2)</f>
        <v>7.93</v>
      </c>
      <c r="B82" s="62">
        <f>ROUND((((2.71828183^(D82))/(2.71828183^G31-2.71828183^(E31)))-(2.71828183^(E31)/(2.71828183^(G31)-2.71828183^(E31))))*100,2)</f>
        <v>97.38</v>
      </c>
      <c r="C82" s="63">
        <f>ROUND(((-E11*E13)/(2.71828183^(G31)-2.71828183^(E31)))*(2.71828183^(E13*A82+D82))*400,3)</f>
        <v>6.165</v>
      </c>
      <c r="D82" s="38">
        <f>(-E11*(2.71828183^(E13*A82)))</f>
        <v>-0.026598428634502534</v>
      </c>
    </row>
    <row r="83" spans="1:4" ht="14.25" thickBot="1" thickTop="1">
      <c r="A83" s="50">
        <f>ROUND((E23+((E25-E23)/98)*52),2)</f>
        <v>8.14</v>
      </c>
      <c r="B83" s="62">
        <f>ROUND((((2.71828183^(D83))/(2.71828183^G31-2.71828183^(E31)))-(2.71828183^(E31)/(2.71828183^(G31)-2.71828183^(E31))))*100,2)</f>
        <v>97.69</v>
      </c>
      <c r="C83" s="63">
        <f>ROUND(((-E11*E13)/(2.71828183^(G31)-2.71828183^(E31)))*(2.71828183^(E13*A83+D83))*400,3)</f>
        <v>5.458</v>
      </c>
      <c r="D83" s="38">
        <f>(-E11*(2.71828183^(E13*A83)))</f>
        <v>-0.023474002845121054</v>
      </c>
    </row>
    <row r="84" spans="1:4" ht="14.25" thickBot="1" thickTop="1">
      <c r="A84" s="50">
        <f>ROUND((E23+((E25-E23)/98)*53),2)</f>
        <v>8.36</v>
      </c>
      <c r="B84" s="62">
        <f>ROUND((((2.71828183^(D84))/(2.71828183^G31-2.71828183^(E31)))-(2.71828183^(E31)/(2.71828183^(G31)-2.71828183^(E31))))*100,2)</f>
        <v>97.97</v>
      </c>
      <c r="C84" s="63">
        <f>ROUND(((-E11*E13)/(2.71828183^(G31)-2.71828183^(E31)))*(2.71828183^(E13*A84+D84))*400,3)</f>
        <v>4.802</v>
      </c>
      <c r="D84" s="38">
        <f>(-E11*(2.71828183^(E13*A84)))</f>
        <v>-0.020593686421096394</v>
      </c>
    </row>
    <row r="85" spans="1:4" ht="14.25" thickBot="1" thickTop="1">
      <c r="A85" s="50">
        <f>ROUND((E23+((E25-E23)/98)*54),2)</f>
        <v>8.57</v>
      </c>
      <c r="B85" s="62">
        <f>ROUND((((2.71828183^(D85))/(2.71828183^G31-2.71828183^(E31)))-(2.71828183^(E31)/(2.71828183^(G31)-2.71828183^(E31))))*100,2)</f>
        <v>98.21</v>
      </c>
      <c r="C85" s="63">
        <f>ROUND(((-E11*E13)/(2.71828183^(G31)-2.71828183^(E31)))*(2.71828183^(E13*A85+D85))*400,3)</f>
        <v>4.248</v>
      </c>
      <c r="D85" s="38">
        <f>(-E11*(2.71828183^(E13*A85)))</f>
        <v>-0.018174617015280264</v>
      </c>
    </row>
    <row r="86" spans="1:4" ht="14.25" thickBot="1" thickTop="1">
      <c r="A86" s="50">
        <f>ROUND((E23+((E25-E23)/98)*55),2)</f>
        <v>8.79</v>
      </c>
      <c r="B86" s="62">
        <f>ROUND((((2.71828183^(D86))/(2.71828183^G31-2.71828183^(E31)))-(2.71828183^(E31)/(2.71828183^(G31)-2.71828183^(E31))))*100,2)</f>
        <v>98.42</v>
      </c>
      <c r="C86" s="63">
        <f>ROUND(((-E11*E13)/(2.71828183^(G31)-2.71828183^(E31)))*(2.71828183^(E13*A86+D86))*400,3)</f>
        <v>3.735</v>
      </c>
      <c r="D86" s="38">
        <f>(-E11*(2.71828183^(E13*A86)))</f>
        <v>-0.01594454793695304</v>
      </c>
    </row>
    <row r="87" spans="1:4" ht="14.25" thickBot="1" thickTop="1">
      <c r="A87" s="50">
        <f>ROUND((E23+((E25-E23)/98)*56),2)</f>
        <v>9</v>
      </c>
      <c r="B87" s="62">
        <f>ROUND((((2.71828183^(D87))/(2.71828183^G31-2.71828183^(E31)))-(2.71828183^(E31)/(2.71828183^(G31)-2.71828183^(E31))))*100,2)</f>
        <v>98.61</v>
      </c>
      <c r="C87" s="63">
        <f>ROUND(((-E11*E13)/(2.71828183^(G31)-2.71828183^(E31)))*(2.71828183^(E13*A87+D87))*400,3)</f>
        <v>3.303</v>
      </c>
      <c r="D87" s="38">
        <f>(-E11*(2.71828183^(E13*A87)))</f>
        <v>-0.014071596814207986</v>
      </c>
    </row>
    <row r="88" spans="1:4" ht="14.25" thickBot="1" thickTop="1">
      <c r="A88" s="50">
        <f>ROUND((E23+((E25-E23)/98)*57),2)</f>
        <v>9.21</v>
      </c>
      <c r="B88" s="62">
        <f>ROUND((((2.71828183^(D88))/(2.71828183^G31-2.71828183^(E31)))-(2.71828183^(E31)/(2.71828183^(G31)-2.71828183^(E31))))*100,2)</f>
        <v>98.77</v>
      </c>
      <c r="C88" s="63">
        <f>ROUND(((-E11*E13)/(2.71828183^(G31)-2.71828183^(E31)))*(2.71828183^(E13*A88+D88))*400,3)</f>
        <v>2.92</v>
      </c>
      <c r="D88" s="38">
        <f>(-E11*(2.71828183^(E13*A88)))</f>
        <v>-0.012418654808188165</v>
      </c>
    </row>
    <row r="89" spans="1:4" ht="14.25" thickBot="1" thickTop="1">
      <c r="A89" s="50">
        <f>ROUND((E23+((E25-E23)/98)*58),2)</f>
        <v>9.43</v>
      </c>
      <c r="B89" s="62">
        <f>ROUND((((2.71828183^(D89))/(2.71828183^G31-2.71828183^(E31)))-(2.71828183^(E31)/(2.71828183^(G31)-2.71828183^(E31))))*100,2)</f>
        <v>98.92</v>
      </c>
      <c r="C89" s="63">
        <f>ROUND(((-E11*E13)/(2.71828183^(G31)-2.71828183^(E31)))*(2.71828183^(E13*A89+D89))*400,3)</f>
        <v>2.565</v>
      </c>
      <c r="D89" s="38">
        <f>(-E11*(2.71828183^(E13*A89)))</f>
        <v>-0.010894856091611296</v>
      </c>
    </row>
    <row r="90" spans="1:4" ht="14.25" thickBot="1" thickTop="1">
      <c r="A90" s="50">
        <f>ROUND((E23+((E25-E23)/98)*59),2)</f>
        <v>9.64</v>
      </c>
      <c r="B90" s="62">
        <f>ROUND((((2.71828183^(D90))/(2.71828183^G31-2.71828183^(E31)))-(2.71828183^(E31)/(2.71828183^(G31)-2.71828183^(E31))))*100,2)</f>
        <v>99.05</v>
      </c>
      <c r="C90" s="63">
        <f>ROUND(((-E11*E13)/(2.71828183^(G31)-2.71828183^(E31)))*(2.71828183^(E13*A90+D90))*400,3)</f>
        <v>2.267</v>
      </c>
      <c r="D90" s="38">
        <f>(-E11*(2.71828183^(E13*A90)))</f>
        <v>-0.009615074875510637</v>
      </c>
    </row>
    <row r="91" spans="1:4" ht="14.25" thickBot="1" thickTop="1">
      <c r="A91" s="50">
        <f>ROUND((E23+((E25-E23)/98)*60),2)</f>
        <v>9.86</v>
      </c>
      <c r="B91" s="62">
        <f>ROUND((((2.71828183^(D91))/(2.71828183^G31-2.71828183^(E31)))-(2.71828183^(E31)/(2.71828183^(G31)-2.71828183^(E31))))*100,2)</f>
        <v>99.17</v>
      </c>
      <c r="C91" s="63">
        <f>ROUND(((-E11*E13)/(2.71828183^(G31)-2.71828183^(E31)))*(2.71828183^(E13*A91+D91))*400,3)</f>
        <v>1.991</v>
      </c>
      <c r="D91" s="38">
        <f>(-E11*(2.71828183^(E13*A91)))</f>
        <v>-0.008435282137779233</v>
      </c>
    </row>
    <row r="92" spans="1:4" ht="14.25" thickBot="1" thickTop="1">
      <c r="A92" s="50">
        <f>ROUND((E23+((E25-E23)/98)*61),2)</f>
        <v>10.07</v>
      </c>
      <c r="B92" s="62">
        <f>ROUND((((2.71828183^(D92))/(2.71828183^G31-2.71828183^(E31)))-(2.71828183^(E31)/(2.71828183^(G31)-2.71828183^(E31))))*100,2)</f>
        <v>99.26</v>
      </c>
      <c r="C92" s="63">
        <f>ROUND(((-E11*E13)/(2.71828183^(G31)-2.71828183^(E31)))*(2.71828183^(E13*A92+D92))*400,3)</f>
        <v>1.759</v>
      </c>
      <c r="D92" s="38">
        <f>(-E11*(2.71828183^(E13*A92)))</f>
        <v>-0.00744441860166044</v>
      </c>
    </row>
    <row r="93" spans="1:4" ht="14.25" thickBot="1" thickTop="1">
      <c r="A93" s="50">
        <f>ROUND((E23+((E25-E23)/98)*62),2)</f>
        <v>10.29</v>
      </c>
      <c r="B93" s="62">
        <f>ROUND((((2.71828183^(D93))/(2.71828183^G31-2.71828183^(E31)))-(2.71828183^(E31)/(2.71828183^(G31)-2.71828183^(E31))))*100,2)</f>
        <v>99.36</v>
      </c>
      <c r="C93" s="63">
        <f>ROUND(((-E11*E13)/(2.71828183^(G31)-2.71828183^(E31)))*(2.71828183^(E13*A93+D93))*400,3)</f>
        <v>1.544</v>
      </c>
      <c r="D93" s="38">
        <f>(-E11*(2.71828183^(E13*A93)))</f>
        <v>-0.006530970592509593</v>
      </c>
    </row>
    <row r="94" spans="1:4" ht="14.25" thickBot="1" thickTop="1">
      <c r="A94" s="50">
        <f>ROUND((E23+((E25-E23)/98)*63),2)</f>
        <v>10.5</v>
      </c>
      <c r="B94" s="62">
        <f>ROUND((((2.71828183^(D94))/(2.71828183^G31-2.71828183^(E31)))-(2.71828183^(E31)/(2.71828183^(G31)-2.71828183^(E31))))*100,2)</f>
        <v>99.43</v>
      </c>
      <c r="C94" s="63">
        <f>ROUND(((-E11*E13)/(2.71828183^(G31)-2.71828183^(E31)))*(2.71828183^(E13*A94+D94))*400,3)</f>
        <v>1.364</v>
      </c>
      <c r="D94" s="38">
        <f>(-E11*(2.71828183^(E13*A94)))</f>
        <v>-0.005763799973924261</v>
      </c>
    </row>
    <row r="95" spans="1:4" ht="14.25" thickBot="1" thickTop="1">
      <c r="A95" s="50">
        <f>ROUND((E23+((E25-E23)/98)*64),2)</f>
        <v>10.71</v>
      </c>
      <c r="B95" s="62">
        <f>ROUND((((2.71828183^(D95))/(2.71828183^G31-2.71828183^(E31)))-(2.71828183^(E31)/(2.71828183^(G31)-2.71828183^(E31))))*100,2)</f>
        <v>99.5</v>
      </c>
      <c r="C95" s="63">
        <f>ROUND(((-E11*E13)/(2.71828183^(G31)-2.71828183^(E31)))*(2.71828183^(E13*A95+D95))*400,3)</f>
        <v>1.205</v>
      </c>
      <c r="D95" s="38">
        <f>(-E11*(2.71828183^(E13*A95)))</f>
        <v>-0.005086746245268832</v>
      </c>
    </row>
    <row r="96" spans="1:4" ht="14.25" thickBot="1" thickTop="1">
      <c r="A96" s="50">
        <f>ROUND((E23+((E25+-E23)/98)*65),2)</f>
        <v>10.93</v>
      </c>
      <c r="B96" s="62">
        <f>ROUND((((2.71828183^(D96))/(2.71828183^G31-2.71828183^(E31)))-(2.71828183^(E31)/(2.71828183^(G31)-2.71828183^(E31))))*100,2)</f>
        <v>99.56</v>
      </c>
      <c r="C96" s="63">
        <f>ROUND(((-E11*E13)/(2.71828183^(G31)-2.71828183^(E31)))*(2.71828183^(E13*A96+D96))*400,3)</f>
        <v>1.058</v>
      </c>
      <c r="D96" s="38">
        <f>(-E11*(2.71828183^(E13*A96)))</f>
        <v>-0.0044625902863656055</v>
      </c>
    </row>
    <row r="97" spans="1:4" ht="14.25" thickBot="1" thickTop="1">
      <c r="A97" s="50">
        <f>ROUND((E23+((E25+-E23)/98)*66),2)</f>
        <v>11.14</v>
      </c>
      <c r="B97" s="62">
        <f>ROUND((((2.71828183^(D97))/(2.71828183^G31-2.71828183^(E31)))-(2.71828183^(E31)/(2.71828183^(G31)-2.71828183^(E31))))*100,2)</f>
        <v>99.61</v>
      </c>
      <c r="C97" s="63">
        <f>ROUND(((-E11*E13)/(2.71828183^(G31)-2.71828183^(E31)))*(2.71828183^(E13*A97+D97))*400,3)</f>
        <v>0.934</v>
      </c>
      <c r="D97" s="38">
        <f>(-E11*(2.71828183^(E13*A97)))</f>
        <v>-0.003938385177493961</v>
      </c>
    </row>
    <row r="98" spans="1:4" ht="14.25" thickBot="1" thickTop="1">
      <c r="A98" s="50">
        <f>ROUND((E23+((E25-E23)/98)*67),2)</f>
        <v>11.36</v>
      </c>
      <c r="B98" s="62">
        <f>ROUND((((2.71828183^(D98))/(2.71828183^G31-2.71828183^(E31)))-(2.71828183^(E31)/(2.71828183^(G31)-2.71828183^(E31))))*100,2)</f>
        <v>99.66</v>
      </c>
      <c r="C98" s="63">
        <f>ROUND(((-E11*E13)/(2.71828183^(G31)-2.71828183^(E31)))*(2.71828183^(E13*A98+D98))*400,3)</f>
        <v>0.82</v>
      </c>
      <c r="D98" s="38">
        <f>(-E11*(2.71828183^(E13*A98)))</f>
        <v>-0.00345513587460701</v>
      </c>
    </row>
    <row r="99" spans="1:4" ht="14.25" thickBot="1" thickTop="1">
      <c r="A99" s="50">
        <f>ROUND((E23+((E25-E23)/98)*68),2)</f>
        <v>11.57</v>
      </c>
      <c r="B99" s="62">
        <f>ROUND((((2.71828183^(D99))/(2.71828183^G31-2.71828183^(E31)))-(2.71828183^(E31)/(2.71828183^(G31)-2.71828183^(E31))))*100,2)</f>
        <v>99.7</v>
      </c>
      <c r="C99" s="63">
        <f>ROUND(((-E11*E13)/(2.71828183^(G31)-2.71828183^(E31)))*(2.71828183^(E13*A99+D99))*400,3)</f>
        <v>0.724</v>
      </c>
      <c r="D99" s="38">
        <f>(-E11*(2.71828183^(E13*A99)))</f>
        <v>-0.003049272965155432</v>
      </c>
    </row>
    <row r="100" spans="1:4" ht="14.25" thickBot="1" thickTop="1">
      <c r="A100" s="50">
        <f>ROUND((E23+((E25-E23)/98)*69),2)</f>
        <v>11.79</v>
      </c>
      <c r="B100" s="62">
        <f>ROUND((((2.71828183^(D100))/(2.71828183^G31-2.71828183^(E31)))-(2.71828183^(E31)/(2.71828183^(G31)-2.71828183^(E31))))*100,2)</f>
        <v>99.74</v>
      </c>
      <c r="C100" s="63">
        <f>ROUND(((-E11*E13)/(2.71828183^(G31)-2.71828183^(E31)))*(2.71828183^(E13*A100+D100))*400,3)</f>
        <v>0.635</v>
      </c>
      <c r="D100" s="38">
        <f>(-E11*(2.71828183^(E13*A100)))</f>
        <v>-0.0026751198622176867</v>
      </c>
    </row>
    <row r="101" spans="1:4" ht="14.25" thickBot="1" thickTop="1">
      <c r="A101" s="50">
        <f>ROUND((E23+((E25-E23)/98)*70),2)</f>
        <v>12</v>
      </c>
      <c r="B101" s="62">
        <f>ROUND((((2.71828183^(D101))/(2.71828183^G31-2.71828183^(E31)))-(2.71828183^(E31)/(2.71828183^(G31)-2.71828183^(E31))))*100,2)</f>
        <v>99.77</v>
      </c>
      <c r="C101" s="63">
        <f>ROUND(((-E11*E13)/(2.71828183^(G31)-2.71828183^(E31)))*(2.71828183^(E13*A101+D101))*400,3)</f>
        <v>0.561</v>
      </c>
      <c r="D101" s="38">
        <f>(-E11*(2.71828183^(E13*A101)))</f>
        <v>-0.002360882746858261</v>
      </c>
    </row>
    <row r="102" spans="1:4" ht="14.25" thickBot="1" thickTop="1">
      <c r="A102" s="50">
        <f>ROUND((E23+((E25-E23)/98)*71),2)</f>
        <v>12.21</v>
      </c>
      <c r="B102" s="62">
        <f>ROUND((((2.71828183^(D102))/(2.71828183^G31-2.71828183^(E31)))-(2.71828183^(E31)/(2.71828183^(G31)-2.71828183^(E31))))*100,2)</f>
        <v>99.8</v>
      </c>
      <c r="C102" s="63">
        <f>ROUND(((-E11*E13)/(2.71828183^(G31)-2.71828183^(E31)))*(2.71828183^(E13*A102+D102))*400,3)</f>
        <v>0.495</v>
      </c>
      <c r="D102" s="38">
        <f>(-E11*(2.71828183^(E13*A102)))</f>
        <v>-0.002083557983002801</v>
      </c>
    </row>
    <row r="103" spans="1:4" ht="14.25" thickBot="1" thickTop="1">
      <c r="A103" s="50">
        <f>ROUND((E23+((E25-E23)/98)*72),2)</f>
        <v>12.43</v>
      </c>
      <c r="B103" s="62">
        <f>ROUND((((2.71828183^(D103))/(2.71828183^G31-2.71828183^(E31)))-(2.71828183^(E31)/(2.71828183^(G31)-2.71828183^(E31))))*100,2)</f>
        <v>99.82</v>
      </c>
      <c r="C103" s="63">
        <f>ROUND(((-E11*E13)/(2.71828183^(G31)-2.71828183^(E31)))*(2.71828183^(E13*A103+D103))*400,3)</f>
        <v>0.434</v>
      </c>
      <c r="D103" s="38">
        <f>(-E11*(2.71828183^(E13*A103)))</f>
        <v>-0.0018279004235125576</v>
      </c>
    </row>
    <row r="104" spans="1:4" ht="14.25" thickBot="1" thickTop="1">
      <c r="A104" s="50">
        <f>ROUND((E23+((E25-E23)/98)*73),2)</f>
        <v>12.64</v>
      </c>
      <c r="B104" s="62">
        <f>ROUND((((2.71828183^(D104))/(2.71828183^G31-2.71828183^(E31)))-(2.71828183^(E31)/(2.71828183^(G31)-2.71828183^(E31))))*100,2)</f>
        <v>99.85</v>
      </c>
      <c r="C104" s="63">
        <f>ROUND(((-E11*E13)/(2.71828183^(G31)-2.71828183^(E31)))*(2.71828183^(E13*A104+D104))*400,3)</f>
        <v>0.383</v>
      </c>
      <c r="D104" s="38">
        <f>(-E11*(2.71828183^(E13*A104)))</f>
        <v>-0.0016131832572422273</v>
      </c>
    </row>
    <row r="105" spans="1:4" ht="14.25" thickBot="1" thickTop="1">
      <c r="A105" s="50">
        <f>ROUND((E23+((E25-E23)/98)*74),2)</f>
        <v>12.86</v>
      </c>
      <c r="B105" s="62">
        <f>ROUND((((2.71828183^(D105))/(2.71828183^G31-2.71828183^(E31)))-(2.71828183^(E31)/(2.71828183^(G31)-2.71828183^(E31))))*100,2)</f>
        <v>99.87</v>
      </c>
      <c r="C105" s="63">
        <f>ROUND(((-E11*E13)/(2.71828183^(G31)-2.71828183^(E31)))*(2.71828183^(E13*A105+D105))*400,3)</f>
        <v>0.336</v>
      </c>
      <c r="D105" s="38">
        <f>(-E11*(2.71828183^(E13*A105)))</f>
        <v>-0.0014152418042461907</v>
      </c>
    </row>
    <row r="106" spans="1:4" ht="14.25" thickBot="1" thickTop="1">
      <c r="A106" s="50">
        <f>ROUND((E23+((E25-E23)/98)*75),2)</f>
        <v>13.07</v>
      </c>
      <c r="B106" s="62">
        <f>ROUND((((2.71828183^(D106))/(2.71828183^G31-2.71828183^(E31)))-(2.71828183^(E31)/(2.71828183^(G31)-2.71828183^(E31))))*100,2)</f>
        <v>99.88</v>
      </c>
      <c r="C106" s="63">
        <f>ROUND(((-E11*E13)/(2.71828183^(G31)-2.71828183^(E31)))*(2.71828183^(E13*A106+D106))*400,3)</f>
        <v>0.297</v>
      </c>
      <c r="D106" s="38">
        <f>(-E11*(2.71828183^(E13*A106)))</f>
        <v>-0.001248998224516004</v>
      </c>
    </row>
    <row r="107" spans="1:4" ht="14.25" thickBot="1" thickTop="1">
      <c r="A107" s="50">
        <f>ROUND((E23+((E25-E23)/98)*76),2)</f>
        <v>13.29</v>
      </c>
      <c r="B107" s="62">
        <f>ROUND((((2.71828183^(D107))/(2.71828183^G31-2.71828183^(E31)))-(2.71828183^(E31)/(2.71828183^(G31)-2.71828183^(E31))))*100,2)</f>
        <v>99.9</v>
      </c>
      <c r="C107" s="63">
        <f>ROUND(((-E11*E13)/(2.71828183^(G31)-2.71828183^(E31)))*(2.71828183^(E13*A107+D107))*400,3)</f>
        <v>0.261</v>
      </c>
      <c r="D107" s="38">
        <f>(-E11*(2.71828183^(E13*A107)))</f>
        <v>-0.0010957431481071337</v>
      </c>
    </row>
    <row r="108" spans="1:4" ht="14.25" thickBot="1" thickTop="1">
      <c r="A108" s="50">
        <f>ROUND((E23+((E25-E23)/98)*77),2)</f>
        <v>13.5</v>
      </c>
      <c r="B108" s="62">
        <f>ROUND((((2.71828183^(D108))/(2.71828183^G31-2.71828183^(E31)))-(2.71828183^(E31)/(2.71828183^(G31)-2.71828183^(E31))))*100,2)</f>
        <v>99.91</v>
      </c>
      <c r="C108" s="63">
        <f>ROUND(((-E11*E13)/(2.71828183^(G31)-2.71828183^(E31)))*(2.71828183^(E13*A108+D108))*400,3)</f>
        <v>0.23</v>
      </c>
      <c r="D108" s="38">
        <f>(-E11*(2.71828183^(E13*A108)))</f>
        <v>-0.000967029974952121</v>
      </c>
    </row>
    <row r="109" spans="1:4" ht="14.25" thickBot="1" thickTop="1">
      <c r="A109" s="50">
        <f>ROUND((E23+((E25-E23)/98)*78),2)</f>
        <v>13.71</v>
      </c>
      <c r="B109" s="62">
        <f>ROUND((((2.71828183^(D109))/(2.71828183^G31-2.71828183^(E31)))-(2.71828183^(E31)/(2.71828183^(G31)-2.71828183^(E31))))*100,2)</f>
        <v>99.92</v>
      </c>
      <c r="C109" s="63">
        <f>ROUND(((-E11*E13)/(2.71828183^(G31)-2.71828183^(E31)))*(2.71828183^(E13*A109+D109))*400,3)</f>
        <v>0.203</v>
      </c>
      <c r="D109" s="38">
        <f>(-E11*(2.71828183^(E13*A109)))</f>
        <v>-0.0008534362948756189</v>
      </c>
    </row>
    <row r="110" spans="1:4" ht="14.25" thickBot="1" thickTop="1">
      <c r="A110" s="50">
        <f>ROUND((E23+((E25-E23)/98)*79),2)</f>
        <v>13.93</v>
      </c>
      <c r="B110" s="62">
        <f>ROUND((((2.71828183^(D110))/(2.71828183^G31-2.71828183^(E31)))-(2.71828183^(E31)/(2.71828183^(G31)-2.71828183^(E31))))*100,2)</f>
        <v>99.93</v>
      </c>
      <c r="C110" s="63">
        <f>ROUND(((-E11*E13)/(2.71828183^(G31)-2.71828183^(E31)))*(2.71828183^(E13*A110+D110))*400,3)</f>
        <v>0.178</v>
      </c>
      <c r="D110" s="38">
        <f>(-E11*(2.71828183^(E13*A110)))</f>
        <v>-0.0007487176155260544</v>
      </c>
    </row>
    <row r="111" spans="1:4" ht="14.25" thickBot="1" thickTop="1">
      <c r="A111" s="50">
        <f>ROUND((E23+((E25-E23)/98)*80),2)</f>
        <v>14.14</v>
      </c>
      <c r="B111" s="62">
        <f>ROUND((((2.71828183^(D111))/(2.71828183^G31-2.71828183^(E31)))-(2.71828183^(E31)/(2.71828183^(G31)-2.71828183^(E31))))*100,2)</f>
        <v>99.94</v>
      </c>
      <c r="C111" s="63">
        <f>ROUND(((-E11*E13)/(2.71828183^(G31)-2.71828183^(E31)))*(2.71828183^(E13*A111+D111))*400,3)</f>
        <v>0.157</v>
      </c>
      <c r="D111" s="38">
        <f>(-E11*(2.71828183^(E13*A111)))</f>
        <v>-0.0006607683363013665</v>
      </c>
    </row>
    <row r="112" spans="1:4" ht="14.25" thickBot="1" thickTop="1">
      <c r="A112" s="50">
        <f>ROUND((E23+((E25-E23)/98)*81),2)</f>
        <v>14.36</v>
      </c>
      <c r="B112" s="62">
        <f>ROUND((((2.71828183^(D112))/(2.71828183^G31-2.71828183^(E31)))-(2.71828183^(E31)/(2.71828183^(G31)-2.71828183^(E11))))*100,2)</f>
        <v>99.95</v>
      </c>
      <c r="C112" s="63">
        <f>ROUND(((-E11*E13)/(2.71828183^(G31)-2.71828183^(E31)))*(2.71828183^(E13*A112+D112))*400,3)</f>
        <v>0.138</v>
      </c>
      <c r="D112" s="38">
        <f>(-E11*(2.71828183^(E13*A112)))</f>
        <v>-0.0005796904773575157</v>
      </c>
    </row>
    <row r="113" spans="1:4" ht="14.25" thickBot="1" thickTop="1">
      <c r="A113" s="50">
        <f>ROUND((E23+((E25-E23)/98)*82),2)</f>
        <v>14.57</v>
      </c>
      <c r="B113" s="62">
        <f>ROUND((((2.71828183^(D113))/(2.71828183^G31-2.71828183^(E31)))-(2.71828183^(E31)/(2.71828183^(G31)-2.71828183^(E31))))*100,2)</f>
        <v>99.96</v>
      </c>
      <c r="C113" s="63">
        <f>ROUND(((-E11*E13)/(2.71828183^(G31)-2.71828183^(E31)))*(2.71828183^(E13*A113+D113))*400,3)</f>
        <v>0.122</v>
      </c>
      <c r="D113" s="38">
        <f>(-E11*(2.71828183^(E13*A113)))</f>
        <v>-0.0005115962338139227</v>
      </c>
    </row>
    <row r="114" spans="1:4" ht="14.25" thickBot="1" thickTop="1">
      <c r="A114" s="50">
        <f>ROUND((E23+((E25-E23)/98)*83),2)</f>
        <v>14.79</v>
      </c>
      <c r="B114" s="62">
        <f>ROUND((((2.71828183^(D114))/(2.71828183^G31-2.71828183^(E31)))-(2.71828183^(E31)/(2.71828183^(G31)-2.71828183^(E31))))*100,2)</f>
        <v>99.96</v>
      </c>
      <c r="C114" s="63">
        <f>ROUND(((-E11*E13)/(2.71828183^(G31)-2.71828183^(E31)))*(2.71828183^(E13*A114+D114))*400,3)</f>
        <v>0.107</v>
      </c>
      <c r="D114" s="38">
        <f>(-E11*(2.71828183^(E13*A114)))</f>
        <v>-0.00044882214946001905</v>
      </c>
    </row>
    <row r="115" spans="1:4" ht="14.25" thickBot="1" thickTop="1">
      <c r="A115" s="50">
        <f>ROUND((E23+((E25-E23)/98)*84),2)</f>
        <v>15</v>
      </c>
      <c r="B115" s="62">
        <f>ROUND((((2.71828183^(D115))/(2.71828183^G31-2.71828183^(E31)))-(2.71828183^(E31)/(2.71828183^(G31)-2.71828183^(E31))))*100,2)</f>
        <v>99.97</v>
      </c>
      <c r="C115" s="63">
        <f>ROUND(((-E11*E13)/(2.71828183^(G31)-2.71828183^(E31)))*(2.71828183^(E13*A115+D115))*400,3)</f>
        <v>0.094</v>
      </c>
      <c r="D115" s="38">
        <f>(-E11*(2.71828183^(E13*A115)))</f>
        <v>-0.0003961005575987806</v>
      </c>
    </row>
    <row r="116" spans="1:4" ht="14.25" thickBot="1" thickTop="1">
      <c r="A116" s="50">
        <f>ROUND((E23+((E25-E23)/98)*85),2)</f>
        <v>15.21</v>
      </c>
      <c r="B116" s="62">
        <f>ROUND((((2.71828183^(D116))/(2.71828183^G31-2.71828183^(E31)))-(2.71828183^(E31)/(2.71828183^(G31)-2.71828183^(E31))))*100,2)</f>
        <v>99.97</v>
      </c>
      <c r="C116" s="63">
        <f>ROUND(((-E11*E13)/(2.71828183^(G31)-2.71828183^(E31)))*(2.71828183^(E13*A116+D116))*400,3)</f>
        <v>0.083</v>
      </c>
      <c r="D116" s="38">
        <f>(-E11*(2.71828183^(E13*A116)))</f>
        <v>-0.00034957198952597897</v>
      </c>
    </row>
    <row r="117" spans="1:4" ht="14.25" thickBot="1" thickTop="1">
      <c r="A117" s="50">
        <f>ROUND((E23+((E25-E23)/98)*86),2)</f>
        <v>15.43</v>
      </c>
      <c r="B117" s="62">
        <f>ROUND((((2.71828183^(D117))/(2.71828183^G31-2.71828183^(E31)))-(2.71828183^(E31)/(2.71828183^(G31)-2.71828183^(E31))))*100,2)</f>
        <v>99.98</v>
      </c>
      <c r="C117" s="63">
        <f>ROUND(((-E11*E13)/(2.71828183^(G31)-2.71828183^(E31)))*(2.71828183^(E13*A117+D117))*400,3)</f>
        <v>0.073</v>
      </c>
      <c r="D117" s="38">
        <f>(-E11*(2.71828183^(E13*A117)))</f>
        <v>-0.00030667866837176744</v>
      </c>
    </row>
    <row r="118" spans="1:4" ht="14.25" thickBot="1" thickTop="1">
      <c r="A118" s="50">
        <f>ROUND((E23+((E25-E23)/98)*87),2)</f>
        <v>15.64</v>
      </c>
      <c r="B118" s="62">
        <f>ROUND((((2.71828183^(D118))/(2.71828183^G31-2.71828183^(E31)))-(2.71828183^(E31)/(2.71828183^(G31)-2.71828183^(E31))))*100,2)</f>
        <v>99.98</v>
      </c>
      <c r="C118" s="63">
        <f>ROUND(((-E11*E13)/(2.71828183^(G31)-2.71828183^(E31)))*(2.71828183^(E13*A118+D118))*400,3)</f>
        <v>0.064</v>
      </c>
      <c r="D118" s="38">
        <f>(-E11*(2.71828183^(E13*A118)))</f>
        <v>-0.00027065418159922963</v>
      </c>
    </row>
    <row r="119" spans="1:4" ht="14.25" thickBot="1" thickTop="1">
      <c r="A119" s="50">
        <f>ROUND((E23+((E25-E23)/98)*88),2)</f>
        <v>15.86</v>
      </c>
      <c r="B119" s="62">
        <f>ROUND((((2.71828183^(D119))/(2.71828183^G31-2.71828183^(E31)))-(2.71828183^(E31)/(2.71828183^(G31)-2.71828183^(E31))))*100,2)</f>
        <v>99.98</v>
      </c>
      <c r="C119" s="63">
        <f>ROUND(((-E11*E13)/(2.71828183^(G31)-2.71828183^(E31)))*(2.71828183^(E13*A119+D119))*400,3)</f>
        <v>0.057</v>
      </c>
      <c r="D119" s="38">
        <f>(-E11*(2.71828183^(E13*A119)))</f>
        <v>-0.00023744426466964884</v>
      </c>
    </row>
    <row r="120" spans="1:4" ht="14.25" thickBot="1" thickTop="1">
      <c r="A120" s="50">
        <f>ROUND((E23+((E25-E23)/98)*89),2)</f>
        <v>16.07</v>
      </c>
      <c r="B120" s="62">
        <f>ROUND((((2.71828183^(D120))/(2.71828183^G31-2.71828183^(E31)))-(2.71828183^(E31)/(2.71828183^(G31)-2.71828183^(E31))))*100,2)</f>
        <v>99.99</v>
      </c>
      <c r="C120" s="63">
        <f>ROUND(((-E11*E13)/(2.71828183^(G31)-2.71828183^(E31)))*(2.71828183^(E13*A120+D120))*400,3)</f>
        <v>0.05</v>
      </c>
      <c r="D120" s="38">
        <f>(-E11*(2.71828183^(E13*A120)))</f>
        <v>-0.00020955250481161604</v>
      </c>
    </row>
    <row r="121" spans="1:4" ht="14.25" thickBot="1" thickTop="1">
      <c r="A121" s="50">
        <f>ROUND((E23+((E25-E23)/98)*90),2)</f>
        <v>16.29</v>
      </c>
      <c r="B121" s="62">
        <f>ROUND((((2.71828183^(D121))/(2.71828183^G31-2.71828183^(E31)))-(2.71828183^(E31)/(2.71828183^(G31)-2.71828183^(E31))))*100,2)</f>
        <v>99.99</v>
      </c>
      <c r="C121" s="63">
        <f>ROUND(((-E11*E13)/(2.71828183^(G31)-2.71828183^(E31)))*(2.71828183^(E13*A121+D121))*400,3)</f>
        <v>0.044</v>
      </c>
      <c r="D121" s="38">
        <f>(-E11*(2.71828183^(E13*A121)))</f>
        <v>-0.00018383991010475058</v>
      </c>
    </row>
    <row r="122" spans="1:4" ht="14.25" thickBot="1" thickTop="1">
      <c r="A122" s="50">
        <f>ROUND((E23+((E25-E23)/98)*91),2)</f>
        <v>16.5</v>
      </c>
      <c r="B122" s="62">
        <f>ROUND((((2.71828183^(D122))/(2.71828183^G31-2.71828183^(E31)))-(2.71828183^(E31)/(2.71828183^(G31)-2.71828183^(E31))))*100,2)</f>
        <v>99.99</v>
      </c>
      <c r="C122" s="63">
        <f>ROUND(((-E11*E13)/(2.71828183^(G31)-2.71828183^(E31)))*(2.71828183^(E13*A122+D122))*400,3)</f>
        <v>0.039</v>
      </c>
      <c r="D122" s="38">
        <f>(-E11*(2.71828183^(E13*A122)))</f>
        <v>-0.0001622448691291429</v>
      </c>
    </row>
    <row r="123" spans="1:4" ht="14.25" thickBot="1" thickTop="1">
      <c r="A123" s="50">
        <f>ROUND((E23+((E25-E23)/98)*92),2)</f>
        <v>16.71</v>
      </c>
      <c r="B123" s="62">
        <f>ROUND((((2.71828183^(D123))/(2.71828183^G31-2.71828183^(E31)))-(2.71828183^(E31)/(2.71828183^(G31)-2.71828183^(E31))))*100,2)</f>
        <v>99.99</v>
      </c>
      <c r="C123" s="63">
        <f>ROUND(((-E11*E13)/(2.71828183^(G31)-2.71828183^(E31)))*(2.71828183^(E13*A123+D123))*400,3)</f>
        <v>0.034</v>
      </c>
      <c r="D123" s="38">
        <f>(-E11*(2.71828183^(E13*A123)))</f>
        <v>-0.00014318652322955244</v>
      </c>
    </row>
    <row r="124" spans="1:4" ht="14.25" thickBot="1" thickTop="1">
      <c r="A124" s="50">
        <f>ROUND((E23+((E25-E23)/98)*93),2)</f>
        <v>16.93</v>
      </c>
      <c r="B124" s="62">
        <f>ROUND((((2.71828183^(D124))/(2.71828183^G31-2.71828183^(E31)))-(2.71828183^(E31)/(2.71828183^(G31)-2.71828183^(E31))))*100,2)</f>
        <v>99.99</v>
      </c>
      <c r="C124" s="63">
        <f>ROUND(((-E11*E13)/(2.71828183^(G31)-2.71828183^(E31)))*(2.71828183^(E13*A124+D124))*400,3)</f>
        <v>0.03</v>
      </c>
      <c r="D124" s="38">
        <f>(-E11*(2.71828183^(E13*A124)))</f>
        <v>-0.00012561719356395652</v>
      </c>
    </row>
    <row r="125" spans="1:4" ht="14.25" thickBot="1" thickTop="1">
      <c r="A125" s="50">
        <f>ROUND((E23+((E25-E23)/98)*94),2)</f>
        <v>17.14</v>
      </c>
      <c r="B125" s="62">
        <f>ROUND((((2.71828183^(D125))/(2.71828183^G31-2.71828183^(E31)))-(2.71828183^(E31)/(2.71828183^(G31)-2.71828183^(E31))))*100,2)</f>
        <v>100</v>
      </c>
      <c r="C125" s="63">
        <f>ROUND(((-E11*E13)/(2.71828183^(G31)-2.71828183^(E31)))*(2.71828183^(E13*A125+D125))*400,3)</f>
        <v>0.026</v>
      </c>
      <c r="D125" s="38">
        <f>(-E11*(2.71828183^(E13*A125)))</f>
        <v>-0.00011086137454343607</v>
      </c>
    </row>
    <row r="126" spans="1:4" ht="14.25" thickBot="1" thickTop="1">
      <c r="A126" s="50">
        <f>ROUND((E23+((E25-E23)/98)*95),2)</f>
        <v>17.36</v>
      </c>
      <c r="B126" s="62">
        <f>ROUND((((2.71828183^(D126))/(2.71828183^G31-2.71828183^(E31)))-(2.71828183^(E31)/(2.71828183^(G31)-2.71828183^(E31))))*100,2)</f>
        <v>100</v>
      </c>
      <c r="C126" s="63">
        <f>ROUND(((-E11*E13)/(2.71828183^(G31)-2.71828183^(E31)))*(2.71828183^(E13*A126+D126))*400,3)</f>
        <v>0.023</v>
      </c>
      <c r="D126" s="38">
        <f>(-E11*(2.71828183^(E13*A126)))</f>
        <v>-9.725841811567127E-05</v>
      </c>
    </row>
    <row r="127" spans="1:4" ht="14.25" thickBot="1" thickTop="1">
      <c r="A127" s="50">
        <f>ROUND((E23+((E25-E23)/98)*96),2)</f>
        <v>17.57</v>
      </c>
      <c r="B127" s="62">
        <f>ROUND((((2.71828183^(D127))/(2.71828183^(G31)-2.71828183^(E31)))-(2.71828183^(E31)/(2.71828183^(G31)-2.71828183^(E31))))*100,2)</f>
        <v>100</v>
      </c>
      <c r="C127" s="63">
        <f>ROUND(((-E11*E13)/(2.71828183^(G31)-2.71828183^(E31)))*(2.71828183^(E13*A127+D127))*400,3)</f>
        <v>0.02</v>
      </c>
      <c r="D127" s="38">
        <f>(-E11*(2.71828183^(E13*A127)))</f>
        <v>-8.583380676096614E-05</v>
      </c>
    </row>
    <row r="128" spans="1:4" ht="14.25" thickBot="1" thickTop="1">
      <c r="A128" s="50">
        <f>ROUND((E23+((E25-E23)/98)*97),2)</f>
        <v>17.79</v>
      </c>
      <c r="B128" s="62">
        <f>ROUND((((2.71828183^(D128))/(2.71828183^G31-2.71828183^(E31)))-(2.71828183^(E31)/(2.71828183^(G31)-2.71828183^(E31))))*100,2)</f>
        <v>100</v>
      </c>
      <c r="C128" s="63">
        <f>ROUND(((-E11*E13)/(2.71828183^(G31)-2.71828183^(E31)))*(2.71828183^(E13*A128+D128))*400,3)</f>
        <v>0.018</v>
      </c>
      <c r="D128" s="38">
        <f>(-E11*(2.71828183^(E13*A128)))</f>
        <v>-7.530179289944635E-05</v>
      </c>
    </row>
    <row r="129" spans="1:4" ht="14.25" thickBot="1" thickTop="1">
      <c r="A129" s="50">
        <f>ROUND((E23+((E25-E23)/98)*98),2)</f>
        <v>18</v>
      </c>
      <c r="B129" s="64">
        <f>ROUND((((2.71828183^(D129))/(2.71828183^G31-2.71828183^(E31)))-(2.71828183^(E31)/(2.71828183^(G31)-2.71828183^(E31))))*100,2)</f>
        <v>100</v>
      </c>
      <c r="C129" s="65">
        <f>ROUND(((-E11*E13)/(2.71828183^(G31)-2.71828183^(E31)))*(2.71828183^(E13*A129+D129))*400,3)</f>
        <v>0.016</v>
      </c>
      <c r="D129" s="38">
        <f>(-E11*(2.71828183^(E13*A129)))</f>
        <v>-6.645635067597211E-05</v>
      </c>
    </row>
    <row r="130" spans="1:4" ht="13.5" thickTop="1">
      <c r="A130" s="2"/>
      <c r="B130" s="2"/>
      <c r="C130" s="2"/>
      <c r="D130" s="68"/>
    </row>
    <row r="131" spans="1:3" ht="12.75">
      <c r="A131" s="5"/>
      <c r="B131" s="5"/>
      <c r="C131" s="5"/>
    </row>
  </sheetData>
  <mergeCells count="4">
    <mergeCell ref="E28:H28"/>
    <mergeCell ref="A29:C29"/>
    <mergeCell ref="F33:G33"/>
    <mergeCell ref="D29:G29"/>
  </mergeCells>
  <hyperlinks>
    <hyperlink ref="D3" r:id="rId1" display="http://www.oekopriority.com/upload/download/ERWEITERUNG_TREND_SS_Teil_Statistik.pdf"/>
  </hyperlinks>
  <printOptions/>
  <pageMargins left="0.75" right="0.75" top="1" bottom="1" header="0.4921259845" footer="0.4921259845"/>
  <pageSetup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workbookViewId="0" topLeftCell="A1">
      <selection activeCell="H1" sqref="H1"/>
    </sheetView>
  </sheetViews>
  <sheetFormatPr defaultColWidth="11.421875" defaultRowHeight="12.75"/>
  <cols>
    <col min="1" max="1" width="14.28125" style="0" customWidth="1"/>
    <col min="2" max="2" width="14.00390625" style="0" customWidth="1"/>
    <col min="3" max="3" width="12.421875" style="0" bestFit="1" customWidth="1"/>
    <col min="4" max="4" width="24.7109375" style="0" customWidth="1"/>
    <col min="5" max="5" width="21.00390625" style="0" customWidth="1"/>
    <col min="6" max="6" width="37.57421875" style="0" customWidth="1"/>
    <col min="7" max="7" width="18.00390625" style="0" customWidth="1"/>
  </cols>
  <sheetData>
    <row r="1" spans="1:7" ht="13.5" thickTop="1">
      <c r="A1" s="1"/>
      <c r="B1" s="2"/>
      <c r="C1" s="2"/>
      <c r="D1" s="2"/>
      <c r="E1" s="2"/>
      <c r="F1" s="2"/>
      <c r="G1" s="3"/>
    </row>
    <row r="2" spans="1:7" ht="12.75">
      <c r="A2" s="18" t="s">
        <v>0</v>
      </c>
      <c r="B2" s="5"/>
      <c r="C2" s="5"/>
      <c r="D2" s="5"/>
      <c r="E2" s="5"/>
      <c r="F2" s="5"/>
      <c r="G2" s="6"/>
    </row>
    <row r="3" spans="1:7" ht="12.75">
      <c r="A3" s="18" t="s">
        <v>1</v>
      </c>
      <c r="B3" s="19"/>
      <c r="C3" s="5"/>
      <c r="D3" s="84" t="s">
        <v>48</v>
      </c>
      <c r="E3" s="5"/>
      <c r="F3" s="5"/>
      <c r="G3" s="6"/>
    </row>
    <row r="4" spans="1:7" ht="12.75">
      <c r="A4" s="4"/>
      <c r="B4" s="5"/>
      <c r="C4" s="5"/>
      <c r="D4" s="5"/>
      <c r="E4" s="5"/>
      <c r="F4" s="5"/>
      <c r="G4" s="6"/>
    </row>
    <row r="5" spans="1:7" ht="18">
      <c r="A5" s="20" t="s">
        <v>2</v>
      </c>
      <c r="B5" s="5"/>
      <c r="C5" s="5"/>
      <c r="D5" s="5"/>
      <c r="E5" s="5"/>
      <c r="F5" s="5"/>
      <c r="G5" s="6"/>
    </row>
    <row r="6" spans="1:7" ht="18">
      <c r="A6" s="20" t="s">
        <v>3</v>
      </c>
      <c r="B6" s="5"/>
      <c r="C6" s="5"/>
      <c r="D6" s="5"/>
      <c r="E6" s="5"/>
      <c r="F6" s="5"/>
      <c r="G6" s="6"/>
    </row>
    <row r="7" spans="1:7" ht="12.75">
      <c r="A7" s="21" t="s">
        <v>39</v>
      </c>
      <c r="B7" s="5"/>
      <c r="C7" s="5"/>
      <c r="D7" s="5"/>
      <c r="E7" s="5"/>
      <c r="F7" s="5"/>
      <c r="G7" s="6"/>
    </row>
    <row r="8" ht="13.5" thickBot="1">
      <c r="H8" s="4"/>
    </row>
    <row r="9" spans="1:8" ht="14.25" thickBot="1" thickTop="1">
      <c r="A9" s="1"/>
      <c r="B9" s="2"/>
      <c r="C9" s="2"/>
      <c r="D9" s="2"/>
      <c r="E9" s="2"/>
      <c r="F9" s="2"/>
      <c r="G9" s="2"/>
      <c r="H9" s="5"/>
    </row>
    <row r="10" spans="1:7" ht="14.25" thickBot="1" thickTop="1">
      <c r="A10" s="1"/>
      <c r="B10" s="2"/>
      <c r="C10" s="2"/>
      <c r="D10" s="2"/>
      <c r="E10" s="2"/>
      <c r="F10" s="2"/>
      <c r="G10" s="3"/>
    </row>
    <row r="11" spans="1:7" ht="14.25" thickBot="1" thickTop="1">
      <c r="A11" s="18" t="s">
        <v>29</v>
      </c>
      <c r="B11" s="22"/>
      <c r="C11" s="5" t="s">
        <v>4</v>
      </c>
      <c r="D11" s="5"/>
      <c r="E11" s="11">
        <v>0.99252734</v>
      </c>
      <c r="F11" s="81" t="s">
        <v>47</v>
      </c>
      <c r="G11" s="6"/>
    </row>
    <row r="12" spans="1:7" ht="14.25" thickBot="1" thickTop="1">
      <c r="A12" s="4"/>
      <c r="B12" s="5"/>
      <c r="C12" s="5"/>
      <c r="D12" s="5"/>
      <c r="E12" s="7"/>
      <c r="F12" s="5"/>
      <c r="G12" s="6"/>
    </row>
    <row r="13" spans="1:7" ht="14.25" thickBot="1" thickTop="1">
      <c r="A13" s="4"/>
      <c r="B13" s="5"/>
      <c r="C13" s="5" t="s">
        <v>5</v>
      </c>
      <c r="D13" s="5"/>
      <c r="E13" s="11">
        <v>-1.21600223</v>
      </c>
      <c r="F13" s="5"/>
      <c r="G13" s="6"/>
    </row>
    <row r="14" spans="1:7" ht="14.25" thickBot="1" thickTop="1">
      <c r="A14" s="4"/>
      <c r="B14" s="5"/>
      <c r="C14" s="5"/>
      <c r="D14" s="5"/>
      <c r="E14" s="7"/>
      <c r="F14" s="5"/>
      <c r="G14" s="6"/>
    </row>
    <row r="15" spans="1:7" ht="14.25" thickBot="1" thickTop="1">
      <c r="A15" s="4"/>
      <c r="B15" s="5"/>
      <c r="C15" s="5" t="s">
        <v>8</v>
      </c>
      <c r="D15" s="5"/>
      <c r="E15" s="11">
        <v>0.006</v>
      </c>
      <c r="F15" s="5" t="s">
        <v>35</v>
      </c>
      <c r="G15" s="6"/>
    </row>
    <row r="16" spans="1:7" ht="13.5" thickTop="1">
      <c r="A16" s="4"/>
      <c r="B16" s="5"/>
      <c r="G16" s="6"/>
    </row>
    <row r="17" spans="1:7" ht="12.75">
      <c r="A17" s="4"/>
      <c r="B17" s="5"/>
      <c r="C17" s="5" t="s">
        <v>6</v>
      </c>
      <c r="D17" s="5"/>
      <c r="E17" s="23">
        <v>0.999998</v>
      </c>
      <c r="F17" s="5" t="s">
        <v>12</v>
      </c>
      <c r="G17" s="6"/>
    </row>
    <row r="18" spans="1:7" ht="12.75">
      <c r="A18" s="4"/>
      <c r="B18" s="5"/>
      <c r="C18" s="5"/>
      <c r="D18" s="5"/>
      <c r="E18" s="7"/>
      <c r="F18" s="5"/>
      <c r="G18" s="6"/>
    </row>
    <row r="19" spans="1:7" ht="12.75">
      <c r="A19" s="4"/>
      <c r="B19" s="5"/>
      <c r="C19" s="5" t="s">
        <v>7</v>
      </c>
      <c r="D19" s="5"/>
      <c r="E19" s="23">
        <v>-0.402</v>
      </c>
      <c r="F19" s="5" t="s">
        <v>12</v>
      </c>
      <c r="G19" s="6"/>
    </row>
    <row r="20" spans="1:7" ht="12.75">
      <c r="A20" s="4"/>
      <c r="B20" s="5"/>
      <c r="C20" s="5"/>
      <c r="D20" s="5"/>
      <c r="E20" s="7"/>
      <c r="F20" s="5"/>
      <c r="G20" s="6"/>
    </row>
    <row r="21" spans="1:7" ht="12.75">
      <c r="A21" s="4"/>
      <c r="B21" s="5"/>
      <c r="C21" s="5" t="s">
        <v>9</v>
      </c>
      <c r="D21" s="5"/>
      <c r="E21" s="23">
        <v>-0.295</v>
      </c>
      <c r="F21" s="5" t="s">
        <v>28</v>
      </c>
      <c r="G21" s="6"/>
    </row>
    <row r="22" spans="1:7" ht="13.5" thickBot="1">
      <c r="A22" s="4"/>
      <c r="B22" s="5"/>
      <c r="C22" s="5"/>
      <c r="D22" s="5"/>
      <c r="E22" s="7"/>
      <c r="F22" s="5"/>
      <c r="G22" s="6"/>
    </row>
    <row r="23" spans="1:7" ht="14.25" thickBot="1" thickTop="1">
      <c r="A23" s="18" t="s">
        <v>30</v>
      </c>
      <c r="B23" s="22"/>
      <c r="C23" s="5" t="s">
        <v>10</v>
      </c>
      <c r="D23" s="5"/>
      <c r="E23" s="25">
        <v>-8</v>
      </c>
      <c r="F23" s="5" t="s">
        <v>33</v>
      </c>
      <c r="G23" s="14">
        <f>ROUND((E15-10*(-0.962423/E13)),0)</f>
        <v>-8</v>
      </c>
    </row>
    <row r="24" spans="1:7" ht="14.25" thickBot="1" thickTop="1">
      <c r="A24" s="4"/>
      <c r="B24" s="5"/>
      <c r="C24" s="5"/>
      <c r="D24" s="5"/>
      <c r="E24" s="7"/>
      <c r="F24" s="5"/>
      <c r="G24" s="6"/>
    </row>
    <row r="25" spans="1:7" ht="14.25" thickBot="1" thickTop="1">
      <c r="A25" s="4"/>
      <c r="B25" s="5"/>
      <c r="C25" s="5" t="s">
        <v>11</v>
      </c>
      <c r="D25" s="5"/>
      <c r="E25" s="25">
        <v>2</v>
      </c>
      <c r="F25" s="5" t="s">
        <v>43</v>
      </c>
      <c r="G25" s="14">
        <f>ROUND(E15+3*(-0.962423/E13),0)</f>
        <v>2</v>
      </c>
    </row>
    <row r="26" spans="1:7" ht="13.5" thickTop="1">
      <c r="A26" s="24"/>
      <c r="B26" s="5"/>
      <c r="C26" s="5"/>
      <c r="D26" s="5"/>
      <c r="E26" s="5"/>
      <c r="F26" s="5"/>
      <c r="G26" s="6"/>
    </row>
    <row r="27" spans="1:7" ht="13.5" thickBot="1">
      <c r="A27" s="8"/>
      <c r="B27" s="9"/>
      <c r="C27" s="53" t="s">
        <v>27</v>
      </c>
      <c r="D27" s="54"/>
      <c r="E27" s="54"/>
      <c r="F27" s="9"/>
      <c r="G27" s="10"/>
    </row>
    <row r="28" spans="5:8" ht="14.25" thickBot="1" thickTop="1">
      <c r="E28" s="73"/>
      <c r="F28" s="73"/>
      <c r="G28" s="73"/>
      <c r="H28" s="73"/>
    </row>
    <row r="29" spans="1:7" ht="13.5" thickTop="1">
      <c r="A29" s="74" t="s">
        <v>13</v>
      </c>
      <c r="B29" s="75"/>
      <c r="C29" s="76"/>
      <c r="D29" s="72" t="s">
        <v>26</v>
      </c>
      <c r="E29" s="79"/>
      <c r="F29" s="79"/>
      <c r="G29" s="80"/>
    </row>
    <row r="30" spans="1:7" ht="13.5" thickBot="1">
      <c r="A30" s="48" t="s">
        <v>18</v>
      </c>
      <c r="B30" s="43" t="s">
        <v>17</v>
      </c>
      <c r="C30" s="51" t="s">
        <v>44</v>
      </c>
      <c r="D30" s="34" t="s">
        <v>32</v>
      </c>
      <c r="E30" s="35" t="s">
        <v>14</v>
      </c>
      <c r="F30" s="36" t="s">
        <v>15</v>
      </c>
      <c r="G30" s="37" t="s">
        <v>16</v>
      </c>
    </row>
    <row r="31" spans="1:7" ht="14.25" thickBot="1" thickTop="1">
      <c r="A31" s="49">
        <f>ROUND((E23+((E25-E23)/98)*0),2)</f>
        <v>-8</v>
      </c>
      <c r="B31" s="60">
        <f>ROUND((((2.71828183^(D31))/(2.71828183^G31-2.71828183^(E31)))-(2.71828183^(E31))/(2.71828183^(G31)-2.71828183^(E31)))*100,5)</f>
        <v>0</v>
      </c>
      <c r="C31" s="61">
        <f>ROUND((-(-E11*E13)/(2.71828183^(G31)-2.71828183^(E31)))*(2.71828183^(-E13*A31+D31))*200,3)</f>
        <v>0.014</v>
      </c>
      <c r="D31" s="38">
        <f>(-E11*(2.71828183^(-E13*A31)))</f>
        <v>-5.914499622957765E-05</v>
      </c>
      <c r="E31" s="39">
        <f>(-E11*(2.71828183^(-E13*E23)))</f>
        <v>-5.914499622957765E-05</v>
      </c>
      <c r="F31" s="38">
        <f>(-E11*(2.71828183^(-E13*E37)))</f>
        <v>-0.9997953141344508</v>
      </c>
      <c r="G31" s="40">
        <f>(-E11*(2.71828183^(-E13*E25)))</f>
        <v>-11.29662197970744</v>
      </c>
    </row>
    <row r="32" spans="1:7" ht="14.25" thickBot="1" thickTop="1">
      <c r="A32" s="50">
        <f>ROUND((E23+((E25-E23)/98)*1),2)</f>
        <v>-7.9</v>
      </c>
      <c r="B32" s="62">
        <f>ROUND((((2.71828183^(D32))/(2.71828183^G31-2.71828183^(E31)))-(2.71828183^(E31)/(2.71828183^(G31)-2.71828183^(E31))))*100,2)</f>
        <v>0</v>
      </c>
      <c r="C32" s="63">
        <f>ROUND((-(-E11*E13)/(2.71828183^(G31)-2.71828183^(E31)))*(2.71828183^(-E13*A32+D32))*200,3)</f>
        <v>0.016</v>
      </c>
      <c r="D32" s="38">
        <f>(-E11*(2.71828183^(-E13*A32)))</f>
        <v>-6.679259461349342E-05</v>
      </c>
      <c r="E32" s="2"/>
      <c r="F32" s="2"/>
      <c r="G32" s="3"/>
    </row>
    <row r="33" spans="1:7" ht="14.25" thickBot="1" thickTop="1">
      <c r="A33" s="50">
        <f>ROUND((E23+((E25-E23)/98)*2),2)</f>
        <v>-7.8</v>
      </c>
      <c r="B33" s="62">
        <f>ROUND((((2.71828183^(D33))/(2.71828183^G31-2.71828183^(E31)))-(2.71828183^(E31)/(2.71828183^(G31)-2.71828183^(E31))))*100,2)</f>
        <v>0</v>
      </c>
      <c r="C33" s="63">
        <f>ROUND((-(-E11*E13)/(2.71828183^(G31)-2.71828183^(E31)))*(2.71828183^(-E13*A33+D33))*200,3)</f>
        <v>0.018</v>
      </c>
      <c r="D33" s="38">
        <f>(-E11*(2.71828183^(-E13*A33)))</f>
        <v>-7.542904691185789E-05</v>
      </c>
      <c r="E33" s="45"/>
      <c r="F33" s="77" t="s">
        <v>36</v>
      </c>
      <c r="G33" s="78"/>
    </row>
    <row r="34" spans="1:7" ht="14.25" thickBot="1" thickTop="1">
      <c r="A34" s="50">
        <f>ROUND((E23+((E25-E23)/98)*3),2)</f>
        <v>-7.69</v>
      </c>
      <c r="B34" s="62">
        <f>ROUND((((2.71828183^(D34))/(2.71828183^G31-2.71828183^(E31)))-(2.71828183^(E31)/(2.71828183^(G31)-2.71828183^(E31))))*100,2)</f>
        <v>0</v>
      </c>
      <c r="C34" s="63">
        <f>ROUND((-(-E11*E13)/(2.71828183^(G31)-2.71828183^(E31)))*(2.71828183^(-E13*A34+D34))*200,3)</f>
        <v>0.021</v>
      </c>
      <c r="D34" s="38">
        <f>(-E11*(2.71828183^(-E13*A34)))</f>
        <v>-8.622435546533389E-05</v>
      </c>
      <c r="E34" s="82" t="s">
        <v>19</v>
      </c>
      <c r="F34" s="5"/>
      <c r="G34" s="6"/>
    </row>
    <row r="35" spans="1:7" ht="14.25" thickBot="1" thickTop="1">
      <c r="A35" s="50">
        <f>ROUND((E23+((E25-E23)/98)*4),2)</f>
        <v>-7.59</v>
      </c>
      <c r="B35" s="62">
        <f>ROUND((((2.71828183^(D35))/(2.71828183^G31-2.71828183^(E31)))-(2.71828183^(E31)/(2.71828183^(G31)-2.71828183^(E31))))*100,2)</f>
        <v>0</v>
      </c>
      <c r="C35" s="63">
        <f>ROUND((-(-E11*E13)/(2.71828183^(G31)-2.71828183^(E31)))*(2.71828183^(-E13*A35+D35))*200,3)</f>
        <v>0.024</v>
      </c>
      <c r="D35" s="38">
        <f>(-E11*(2.71828183^(-E13*A35)))</f>
        <v>-9.737338384554243E-05</v>
      </c>
      <c r="E35" s="27">
        <v>50</v>
      </c>
      <c r="F35" s="7" t="s">
        <v>20</v>
      </c>
      <c r="G35" s="12">
        <f>ROUND(-(LN(LN(0.01*E35*(2.71828183^(G31)-2.71828183^(E31))+(2.71828183^(E31)))/(-E11)))/(E13),3)</f>
        <v>-0.295</v>
      </c>
    </row>
    <row r="36" spans="1:7" ht="14.25" thickBot="1" thickTop="1">
      <c r="A36" s="50">
        <f>ROUND((E23+((E25-E23)/98)*5),2)</f>
        <v>-7.49</v>
      </c>
      <c r="B36" s="62">
        <f>ROUND((((2.71828183^(D36))/(2.71828183^G31-2.71828183^(E31)))-(2.71828183^(E31)/(2.71828183^(G31)-2.71828183^(E31))))*100,2)</f>
        <v>0.01</v>
      </c>
      <c r="C36" s="63">
        <f>ROUND((-(-E11*E13)/(2.71828183^(G31)-2.71828183^(E31)))*(2.71828183^(-E13*A36+D36))*200,3)</f>
        <v>0.027</v>
      </c>
      <c r="D36" s="38">
        <f>(-E11*(2.71828183^-(E13*A36)))</f>
        <v>-0.00010996400994082619</v>
      </c>
      <c r="E36" s="83" t="s">
        <v>21</v>
      </c>
      <c r="F36" s="7"/>
      <c r="G36" s="13"/>
    </row>
    <row r="37" spans="1:7" ht="14.25" thickBot="1" thickTop="1">
      <c r="A37" s="50">
        <f>ROUND((E23+((E25-E23)/98)*6),2)</f>
        <v>-7.39</v>
      </c>
      <c r="B37" s="62">
        <f>ROUND((((2.71828183^(D37))/(2.71828183^G31-2.71828183^(E31)))-(2.71828183^(E31)/(2.71828183^(G31)-2.71828183^(E31))))*100,2)</f>
        <v>0.01</v>
      </c>
      <c r="C37" s="63">
        <f>ROUND((-(-E11*E13)/(2.71828183^(G31)-2.71828183^(E31)))*(2.71828183^(-E13*A37+D37))*200,3)</f>
        <v>0.03</v>
      </c>
      <c r="D37" s="38">
        <f>(-E11*(2.71828183^(-E13*A37)))</f>
        <v>-0.0001241826360008919</v>
      </c>
      <c r="E37" s="27">
        <v>0.006</v>
      </c>
      <c r="F37" s="7" t="s">
        <v>22</v>
      </c>
      <c r="G37" s="12">
        <f>ROUND((((2.71828183^(F31))/(2.71828183^G31-2.71828183^(E31)))-(2.71828183^(E31))/(2.71828183^(G31)-2.71828183^(E31)))*100,3)</f>
        <v>63.203</v>
      </c>
    </row>
    <row r="38" spans="1:7" ht="14.25" thickBot="1" thickTop="1">
      <c r="A38" s="50">
        <f>ROUND((E23+((E25-E23)/98)*7),2)</f>
        <v>-7.29</v>
      </c>
      <c r="B38" s="62">
        <f>ROUND((((2.71828183^(D38))/(2.71828183^G31-2.71828183^(E31)))-(2.71828183^(E31)/(2.71828183^(G31)-2.71828183^(E31))))*100,2)</f>
        <v>0.01</v>
      </c>
      <c r="C38" s="63">
        <f>ROUND((-(-E11*E13)/(2.71828183^(G31)-2.71828183^(E31)))*(2.71828183^(-E13*A38+D38))*200,3)</f>
        <v>0.034</v>
      </c>
      <c r="D38" s="38">
        <f>(-E11*(2.71828183^(-E13*A38)))</f>
        <v>-0.00014023976656024582</v>
      </c>
      <c r="E38" s="2"/>
      <c r="F38" s="15" t="s">
        <v>31</v>
      </c>
      <c r="G38" s="26"/>
    </row>
    <row r="39" spans="1:7" ht="14.25" thickBot="1" thickTop="1">
      <c r="A39" s="50">
        <f>ROUND((E23+((E25-E23)/98)*8),2)</f>
        <v>-7.18</v>
      </c>
      <c r="B39" s="62">
        <f>ROUND((((2.71828183^(D39))/(2.71828183^G31-2.71828183^(E31)))-(2.71828183^(E31)/(2.71828183^(G31)-2.71828183^(E31))))*100,2)</f>
        <v>0.01</v>
      </c>
      <c r="C39" s="63">
        <f>ROUND((-(-E11*E13)/(2.71828183^(G31)-2.71828183^(E31)))*(2.71828183^(-E13*A39+D39))*200,3)</f>
        <v>0.039</v>
      </c>
      <c r="D39" s="38">
        <f>(-E11*(2.71828183^(-E13*A39)))</f>
        <v>-0.00016031070227357142</v>
      </c>
      <c r="E39" s="15"/>
      <c r="F39" s="7" t="s">
        <v>23</v>
      </c>
      <c r="G39" s="12">
        <f>ROUND(-(LN(LN(0.5*(2.71828183^(G31)-2.71828183^(E31))+(2.71828183^(E31)))/(-E11)))/(E13),4)</f>
        <v>-0.2952</v>
      </c>
    </row>
    <row r="40" spans="1:8" ht="14.25" thickBot="1" thickTop="1">
      <c r="A40" s="50">
        <f>ROUND((E23+((E25-E23)/98)*9),2)</f>
        <v>-7.08</v>
      </c>
      <c r="B40" s="62">
        <f>ROUND((((2.71828183^(D40))/(2.71828183^G31-2.71828183^(E31)))-(2.71828183^(E31)/(2.71828183^(G31)-2.71828183^(E31))))*100,2)</f>
        <v>0.01</v>
      </c>
      <c r="C40" s="63">
        <f>ROUND((-(-E11*E13)/(2.71828183^(G31)-2.71828183^(E31)))*(2.71828183^(-E13*A40+D40))*200,3)</f>
        <v>0.044</v>
      </c>
      <c r="D40" s="38">
        <f>(-E11*(2.71828183^(-E13*A40)))</f>
        <v>-0.00018103928365470747</v>
      </c>
      <c r="E40" s="15"/>
      <c r="F40" s="7"/>
      <c r="G40" s="13"/>
      <c r="H40" s="59"/>
    </row>
    <row r="41" spans="1:7" ht="14.25" thickBot="1" thickTop="1">
      <c r="A41" s="50">
        <f>ROUND((E23+((E25-E23)/98)*10),2)</f>
        <v>-6.98</v>
      </c>
      <c r="B41" s="62">
        <f>ROUND((((2.71828183^(D41))/(2.71828183^G31-2.71828183^(E31)))-(2.71828183^(E31)/(2.71828183^(G31)-2.71828183^(E31))))*100,2)</f>
        <v>0.01</v>
      </c>
      <c r="C41" s="63">
        <f>ROUND((-(-E11*E13)/(2.71828183^(G31)-2.71828183^(E31)))*(2.71828183^(-E13*A41+D41))*200,3)</f>
        <v>0.05</v>
      </c>
      <c r="D41" s="38">
        <f>(-E11*(2.71828183^(-E13*A41)))</f>
        <v>-0.00020444812330918722</v>
      </c>
      <c r="E41" s="15"/>
      <c r="F41" s="7" t="s">
        <v>24</v>
      </c>
      <c r="G41" s="14">
        <f>(E15)</f>
        <v>0.006</v>
      </c>
    </row>
    <row r="42" spans="1:7" ht="14.25" thickBot="1" thickTop="1">
      <c r="A42" s="50">
        <f>ROUND((E23+((E25-E23)/98)*11),2)</f>
        <v>-6.88</v>
      </c>
      <c r="B42" s="62">
        <f>ROUND((((2.71828183^(D42))/(2.71828183^G31-2.71828183^(E31)))-(2.71828183^(E31)/(2.71828183^(G31)-2.71828183^(E31))))*100,2)</f>
        <v>0.02</v>
      </c>
      <c r="C42" s="63">
        <f>ROUND((-(-E11*E13)/(2.71828183^(G31)-2.71828183^(E31)))*(2.71828183^(-E13*A42+D42))*200,3)</f>
        <v>0.056</v>
      </c>
      <c r="D42" s="38">
        <f>(-E11*(2.71828183^(-E13*A42)))</f>
        <v>-0.00023088378544609798</v>
      </c>
      <c r="E42" s="15"/>
      <c r="F42" s="7"/>
      <c r="G42" s="13"/>
    </row>
    <row r="43" spans="1:7" ht="14.25" thickBot="1" thickTop="1">
      <c r="A43" s="50">
        <f>ROUND((E23+((E25-E23)/98)*12),2)</f>
        <v>-6.78</v>
      </c>
      <c r="B43" s="62">
        <f>ROUND((((2.71828183^(D43))/(2.71828183^G31-2.71828183^(E31)))-(2.71828183^(E31)/(2.71828183^(G31)-2.71828183^(E31))))*100,2)</f>
        <v>0.02</v>
      </c>
      <c r="C43" s="63">
        <f>ROUND((-(-E11*E13)/(2.71828183^(G31)-2.71828183^(E31)))*(2.71828183^(-E13*A43+D43))*200,3)</f>
        <v>0.063</v>
      </c>
      <c r="D43" s="38">
        <f>(-E11*(2.71828183^(-E13*A43)))</f>
        <v>-0.0002607376459078716</v>
      </c>
      <c r="E43" s="15"/>
      <c r="F43" s="7" t="s">
        <v>25</v>
      </c>
      <c r="G43" s="14">
        <f>(E19)</f>
        <v>-0.402</v>
      </c>
    </row>
    <row r="44" spans="1:7" ht="14.25" thickBot="1" thickTop="1">
      <c r="A44" s="50">
        <f>ROUND((E23+((E25-E23)/98)*13),2)</f>
        <v>-6.67</v>
      </c>
      <c r="B44" s="62">
        <f>ROUND((((2.71828183^(D44))/(2.71828183^G31-2.71828183^(E31)))-(2.71828183^(E31)/(2.71828183^(G31)-2.71828183^(E31))))*100,2)</f>
        <v>0.02</v>
      </c>
      <c r="C44" s="63">
        <f>ROUND((-(-E11*E13)/(2.71828183^(G31)-2.71828183^(E31)))*(2.71828183^(-E13*A44+D44))*200,3)</f>
        <v>0.072</v>
      </c>
      <c r="D44" s="38">
        <f>(-E11*(2.71828183^(-E13*A44)))</f>
        <v>-0.0002980540837301815</v>
      </c>
      <c r="E44" s="16"/>
      <c r="F44" s="16"/>
      <c r="G44" s="17"/>
    </row>
    <row r="45" spans="1:4" ht="14.25" thickBot="1" thickTop="1">
      <c r="A45" s="50">
        <f>ROUND((E23+((E25-E23)/98)*14),2)</f>
        <v>-6.57</v>
      </c>
      <c r="B45" s="62">
        <f>ROUND((((2.71828183^(D45))/(2.71828183^G31-2.71828183^(E31)))-(2.71828183^(E31)/(2.71828183^(G31)-2.71828183^(E31))))*100,2)</f>
        <v>0.03</v>
      </c>
      <c r="C45" s="63">
        <f>ROUND((-(-E11*E13)/(2.71828183^(G31)-2.71828183^(E31)))*(2.71828183^(-E13*A45+D45))*200,3)</f>
        <v>0.082</v>
      </c>
      <c r="D45" s="38">
        <f>(-E11*(2.71828183^(-E13*A45)))</f>
        <v>-0.00033659323453520885</v>
      </c>
    </row>
    <row r="46" spans="1:4" ht="14.25" thickBot="1" thickTop="1">
      <c r="A46" s="50">
        <f>ROUND((E23+((E25-E23)/98)*15),2)</f>
        <v>-6.47</v>
      </c>
      <c r="B46" s="62">
        <f>ROUND((((2.71828183^(D46))/(2.71828183^G31-2.71828183^(E31)))-(2.71828183^(E31)/(2.71828183^(G31)-2.71828183^(E31))))*100,2)</f>
        <v>0.03</v>
      </c>
      <c r="C46" s="63">
        <f>ROUND((-(-E11*E13)/(2.71828183^(G31)-2.71828183^(E31)))*(2.71828183^(-E13*A46+D46))*200,3)</f>
        <v>0.092</v>
      </c>
      <c r="D46" s="38">
        <f>(-E11*(2.71828183^(-E13*A46)))</f>
        <v>-0.0003801155955220404</v>
      </c>
    </row>
    <row r="47" spans="1:4" ht="14.25" thickBot="1" thickTop="1">
      <c r="A47" s="50">
        <f>ROUND((E23+((E25-E23)/98)*16),2)</f>
        <v>-6.37</v>
      </c>
      <c r="B47" s="62">
        <f>ROUND((((2.71828183^(D47))/(2.71828183^G31-2.71828183^(E31)))-(2.71828183^(E31)/(2.71828183^(G31)-2.71828183^(E31))))*100,2)</f>
        <v>0.04</v>
      </c>
      <c r="C47" s="63">
        <f>ROUND((-(-E11*E13)/(2.71828183^(G31)-2.71828183^(E31)))*(2.71828183^(-E13*A47+D47))*200,3)</f>
        <v>0.104</v>
      </c>
      <c r="D47" s="38">
        <f>(-E11*(2.71828183^(-E13*A47)))</f>
        <v>-0.00042926550843659693</v>
      </c>
    </row>
    <row r="48" spans="1:4" ht="14.25" thickBot="1" thickTop="1">
      <c r="A48" s="50">
        <f>ROUND((E23+((E25-E23)/98)*17),2)</f>
        <v>-6.27</v>
      </c>
      <c r="B48" s="62">
        <f>ROUND((((2.71828183^(D48))/(2.71828183^G31-2.71828183^(E31)))-(2.71828183^(E31)/(2.71828183^(G31)-2.71828183^(E31))))*100,2)</f>
        <v>0.04</v>
      </c>
      <c r="C48" s="63">
        <f>ROUND((-(-E11*E13)/(2.71828183^(G31)-2.71828183^(E31)))*(2.71828183^(-E13*A48+D48))*200,3)</f>
        <v>0.118</v>
      </c>
      <c r="D48" s="38">
        <f>(-E11*(2.71828183^(-E13*A48)))</f>
        <v>-0.0004847706300507364</v>
      </c>
    </row>
    <row r="49" spans="1:4" ht="14.25" thickBot="1" thickTop="1">
      <c r="A49" s="50">
        <f>ROUND((E23+((E25-E23)/98)*18),2)</f>
        <v>-6.16</v>
      </c>
      <c r="B49" s="62">
        <f>ROUND((((2.71828183^(D49))/(2.71828183^G31-2.71828183^(E31)))-(2.71828183^(E31)/(2.71828183^(G31)-2.71828183^(E31))))*100,2)</f>
        <v>0.05</v>
      </c>
      <c r="C49" s="63">
        <f>ROUND((-(-E11*E13)/(2.71828183^(G31)-2.71828183^(E31)))*(2.71828183^(-E13*A49+D49))*200,3)</f>
        <v>0.135</v>
      </c>
      <c r="D49" s="38">
        <f>(-E11*(2.71828183^(-E13*A49)))</f>
        <v>-0.0005541503815299779</v>
      </c>
    </row>
    <row r="50" spans="1:4" ht="14.25" thickBot="1" thickTop="1">
      <c r="A50" s="50">
        <f>ROUND((E23+((E25-E23)/98)*19),2)</f>
        <v>-6.06</v>
      </c>
      <c r="B50" s="62">
        <f>ROUND((((2.71828183^(D50))/(2.71828183^G31-2.71828183^(E31)))-(2.71828183^(E31)/(2.71828183^(G31)-2.71828183^(E31))))*100,2)</f>
        <v>0.06</v>
      </c>
      <c r="C50" s="63">
        <f>ROUND((-(-E11*E13)/(2.71828183^(G31)-2.71828183^(E31)))*(2.71828183^(-E13*A50+D50))*200,3)</f>
        <v>0.152</v>
      </c>
      <c r="D50" s="38">
        <f>(-E11*(2.71828183^(-E13*A50)))</f>
        <v>-0.0006258034347449119</v>
      </c>
    </row>
    <row r="51" spans="1:6" ht="14.25" thickBot="1" thickTop="1">
      <c r="A51" s="50">
        <f>ROUND((E23+((E25-E23)/98)*20),2)</f>
        <v>-5.96</v>
      </c>
      <c r="B51" s="62">
        <f>ROUND((((2.71828183^(D51))/(2.71828183^G31-2.71828183^(E31)))-(2.71828183^(E31)/(2.71828183^(G31)-2.71828183^(E31))))*100,2)</f>
        <v>0.06</v>
      </c>
      <c r="C51" s="63">
        <f>ROUND((-(-E11*E13)/(2.71828183^(G31)-2.71828183^(E31)))*(2.71828183^(-E13*A51+D51))*200,3)</f>
        <v>0.172</v>
      </c>
      <c r="D51" s="38">
        <f>(-E11*(2.71828183^(-E13*A51)))</f>
        <v>-0.000706721409912704</v>
      </c>
      <c r="F51" s="5"/>
    </row>
    <row r="52" spans="1:4" ht="14.25" thickBot="1" thickTop="1">
      <c r="A52" s="50">
        <f>ROUND((E23+((E25-E23)/98)*21),2)</f>
        <v>-5.86</v>
      </c>
      <c r="B52" s="62">
        <f>ROUND((((2.71828183^(D52))/(2.71828183^G31-2.71828183^(E31)))-(2.71828183^(E31)/(2.71828183^(G31)-2.71828183^(E31))))*100,2)</f>
        <v>0.07</v>
      </c>
      <c r="C52" s="63">
        <f>ROUND((-(-E21*E13)/(2.71828183^(G31)-2.71828183^(E31)))*(2.71828183^(-E13*A52+D52))*200,3)</f>
        <v>-0.058</v>
      </c>
      <c r="D52" s="38">
        <f>(-E11*(2.71828183^(-E13*A52)))</f>
        <v>-0.0007981022849971841</v>
      </c>
    </row>
    <row r="53" spans="1:5" ht="14.25" thickBot="1" thickTop="1">
      <c r="A53" s="50">
        <f>ROUND((E23+((E25-E23)/98)*22),2)</f>
        <v>-5.76</v>
      </c>
      <c r="B53" s="62">
        <f>ROUND((((2.71828183^(D53))/(2.71828183^G31-2.71828183^(E31)))-(2.71828183^(E31)/(2.71828183^(G31)-2.71828183^(E31))))*100,2)</f>
        <v>0.08</v>
      </c>
      <c r="C53" s="63">
        <f>ROUND((-(-E11*E13)/(2.71828183^(G31)-2.71828183^(E31)))*(2.71828183^(-E13*A53+D53))*200,3)</f>
        <v>0.219</v>
      </c>
      <c r="D53" s="38">
        <f>(-E11*(2.71828183^(-E13*A53)))</f>
        <v>-0.0009012989395586681</v>
      </c>
      <c r="E53" s="30"/>
    </row>
    <row r="54" spans="1:4" ht="14.25" thickBot="1" thickTop="1">
      <c r="A54" s="50">
        <f>ROUND((E23+((E25-E23)/98)*23),2)</f>
        <v>-5.65</v>
      </c>
      <c r="B54" s="62">
        <f>ROUND((((2.71828183^(D54))/(2.71828183^G31-2.71828183^(E31)))-(2.71828183^(E31)/(2.71828183^(G31)-2.71828183^(E31))))*100,2)</f>
        <v>0.1</v>
      </c>
      <c r="C54" s="63">
        <f>ROUND((-(-E11*E13)/(2.71828183^(G31)-2.71828183^(E31)))*(2.71828183^(-E13*A54+D54))*200,3)</f>
        <v>0.25</v>
      </c>
      <c r="D54" s="38">
        <f>(-E11*(2.71828183^(-E13*A54)))</f>
        <v>-0.0010302916890338985</v>
      </c>
    </row>
    <row r="55" spans="1:4" ht="14.25" thickBot="1" thickTop="1">
      <c r="A55" s="67">
        <f>ROUND((E23+((E25-E23)/98)*24),2)</f>
        <v>-5.55</v>
      </c>
      <c r="B55" s="62">
        <f>ROUND((((2.71828183^(D55))/(2.71828183^G31-2.71828183^(E31)))-(2.71828183^(E31))/(2.71828183^(G31)-2.71828183^(E31)))*100,2)</f>
        <v>0.11</v>
      </c>
      <c r="C55" s="52">
        <f>ROUND((-(-E11*E13)/(2.71828183^(G31)-2.71828183^(E31)))*(2.71828183^(-E13*A55+D55))*200,3)</f>
        <v>0.283</v>
      </c>
      <c r="D55" s="38">
        <f>(-E11*(2.71828183^(-E13*A55)))</f>
        <v>-0.0011635110238603541</v>
      </c>
    </row>
    <row r="56" spans="1:4" ht="14.25" thickBot="1" thickTop="1">
      <c r="A56" s="50">
        <f>ROUND((E23+((E25-E23)/98)*25),2)</f>
        <v>-5.45</v>
      </c>
      <c r="B56" s="62">
        <f>ROUND((((2.71828183^(D56))/(2.71828183^G31-2.71828183^(E31)))-(2.71828183^(E31)/(2.71828183^(G31)-2.71828183^(E31))))*100,2)</f>
        <v>0.13</v>
      </c>
      <c r="C56" s="63">
        <f>ROUND((-(-E11*E13)/(2.71828183^(G31)-2.71828183^(E31)))*(2.71828183^(-E13*A56+D56))*200,3)</f>
        <v>0.319</v>
      </c>
      <c r="D56" s="38">
        <f>(-E11*(2.71828183^(-E13*A56)))</f>
        <v>-0.0013139559573793922</v>
      </c>
    </row>
    <row r="57" spans="1:4" ht="14.25" thickBot="1" thickTop="1">
      <c r="A57" s="50">
        <f>ROUND((E23+((E25-E23)/98)*26),2)</f>
        <v>-5.35</v>
      </c>
      <c r="B57" s="62">
        <f>ROUND((((2.71828183^(D57))/(2.71828183^G31-2.71828183^(E31)))-(2.71828183^(E31)/(2.71828183^(G31)-2.71828183^(E31))))*100,2)</f>
        <v>0.14</v>
      </c>
      <c r="C57" s="63">
        <f>ROUND((-(-E11*E13)/(2.71828183^(G31)-2.71828183^(E31)))*(2.71828183^(-E13*A57+D57))*200,3)</f>
        <v>0.36</v>
      </c>
      <c r="D57" s="38">
        <f>(-E11*(2.71828183^(-E13*A57)))</f>
        <v>-0.001483853803296678</v>
      </c>
    </row>
    <row r="58" spans="1:4" ht="14.25" thickBot="1" thickTop="1">
      <c r="A58" s="50">
        <f>ROUND((E23+((E25-E23)/98)*27),2)</f>
        <v>-5.24</v>
      </c>
      <c r="B58" s="62">
        <f>ROUND((((2.71828183^(D58))/(2.71828183^G31-2.71828183^(E31)))-(2.71828183^(E31)/(2.71828183^(G31)-2.71828183^(E31))))*100,2)</f>
        <v>0.16</v>
      </c>
      <c r="C58" s="63">
        <f>ROUND((-(-E11*E13)/(2.71828183^(G31)-2.71828183^(E31)))*(2.71828183^(-E13*A58+D58))*200,3)</f>
        <v>0.412</v>
      </c>
      <c r="D58" s="38">
        <f>(-E11*(2.71828183^(-E13*A58)))</f>
        <v>-0.0016962210584942033</v>
      </c>
    </row>
    <row r="59" spans="1:4" ht="14.25" thickBot="1" thickTop="1">
      <c r="A59" s="50">
        <f>ROUND((E23+((E25-E23)/98)*28),2)</f>
        <v>-5.14</v>
      </c>
      <c r="B59" s="62">
        <f>ROUND((((2.71828183^(D59))/(2.71828183^G31-2.71828183^(E31)))-(2.71828183^(E31)/(2.71828183^(G31)-2.71828183^(E31))))*100,2)</f>
        <v>0.19</v>
      </c>
      <c r="C59" s="63">
        <f>ROUND((-(-E11*E13)/(2.71828183^(G31)-2.71828183^(E31)))*(2.71828183^(-E13*A59+D59))*200,3)</f>
        <v>0.465</v>
      </c>
      <c r="D59" s="38">
        <f>(-E11*(2.71828183^(-E13*A59)))</f>
        <v>-0.0019155467538641377</v>
      </c>
    </row>
    <row r="60" spans="1:4" ht="14.25" thickBot="1" thickTop="1">
      <c r="A60" s="50">
        <f>ROUND((E23+((E25-E23)/98)*29),2)</f>
        <v>-5.04</v>
      </c>
      <c r="B60" s="62">
        <f>ROUND((((2.71828183^(D60))/(2.71828183^G31-2.71828183^(E31)))-(2.71828183^(E31)/(2.71828183^(G31)-2.71828183^(E31))))*100,2)</f>
        <v>0.21</v>
      </c>
      <c r="C60" s="63">
        <f>ROUND((-(-E11*E13)/(2.71828183^(G31)-2.71828183^(E31)))*(2.71828183^(-E13*A60+D60))*200,3)</f>
        <v>0.525</v>
      </c>
      <c r="D60" s="38">
        <f>(-E11*(2.71828183^(-E13*A60)))</f>
        <v>-0.0021632318192634768</v>
      </c>
    </row>
    <row r="61" spans="1:4" ht="14.25" thickBot="1" thickTop="1">
      <c r="A61" s="50">
        <f>ROUND((E23+((E25-E23)/98)*30),2)</f>
        <v>-4.94</v>
      </c>
      <c r="B61" s="62">
        <f>ROUND((((2.71828183^(D61))/(2.71828183^G31-2.71828183^(E31)))-(2.71828183^(E31)/(2.71828183^(G31)-2.71828183^(E31))))*100,2)</f>
        <v>0.24</v>
      </c>
      <c r="C61" s="63">
        <f>ROUND((-(-E11*E13)/(2.71828183^(G31)-2.71828183^(E31)))*(2.71828183^(-E13*A61+D61))*200,3)</f>
        <v>0.593</v>
      </c>
      <c r="D61" s="38">
        <f>(-E11*(2.71828183^(-E13*A61)))</f>
        <v>-0.002442943193338455</v>
      </c>
    </row>
    <row r="62" spans="1:4" ht="14.25" thickBot="1" thickTop="1">
      <c r="A62" s="50">
        <f>ROUND((E23+((E25-E23)/98)*31),2)</f>
        <v>-4.84</v>
      </c>
      <c r="B62" s="62">
        <f>ROUND((((2.71828183^(D62))/(2.71828183^G31-2.71828183^(E31)))-(2.71828183^(E31)/(2.71828183^(G31)-2.71828183^(E31))))*100,2)</f>
        <v>0.27</v>
      </c>
      <c r="C62" s="63">
        <f>ROUND((-(-E11*E13)/(2.71828183^(G31)-2.71828183^(E31)))*(2.71828183^(-E13*A62+D62))*200,3)</f>
        <v>0.669</v>
      </c>
      <c r="D62" s="38">
        <f>(-E11*(2.71828183^(-E13*A62)))</f>
        <v>-0.002758821959225169</v>
      </c>
    </row>
    <row r="63" spans="1:4" ht="14.25" thickBot="1" thickTop="1">
      <c r="A63" s="50">
        <f>ROUND((E23+((E25-E23)/98)*32),2)</f>
        <v>-4.73</v>
      </c>
      <c r="B63" s="62">
        <f>ROUND((((2.71828183^(D63))/(2.71828183^G31-2.71828183^(E31)))-(2.71828183^(E31)/(2.71828183^(G31)-2.71828183^(E31))))*100,2)</f>
        <v>0.31</v>
      </c>
      <c r="C63" s="63">
        <f>ROUND((-(-E11*E13)/(2.71828183^(G31)-2.71828183^(E31)))*(2.71828183^(-E13*A63+D63))*200,3)</f>
        <v>0.765</v>
      </c>
      <c r="D63" s="38">
        <f>(-E11*(2.71828183^(-E13*A63)))</f>
        <v>-0.0031536610233955423</v>
      </c>
    </row>
    <row r="64" spans="1:4" ht="14.25" thickBot="1" thickTop="1">
      <c r="A64" s="50">
        <f>ROUND((E23+((E25-E23)/98)*33),2)</f>
        <v>-4.63</v>
      </c>
      <c r="B64" s="62">
        <f>ROUND((((2.71828183^(D64))/(2.71828183^(G31)-2.71828183^(E31)))-(2.71828183^(E31)/(2.71828183^(G31)-2.71828183^(E31))))*100,2)</f>
        <v>0.35</v>
      </c>
      <c r="C64" s="63">
        <f>ROUND((-(-E11*E13)/(2.71828183^(G31)-2.71828183^(E31)))*(2.71828183^(-E13*A64+D64))*200,3)</f>
        <v>0.863</v>
      </c>
      <c r="D64" s="38">
        <f>(-E11*(2.71828183^(-E13*A64)))</f>
        <v>-0.0035614374116519853</v>
      </c>
    </row>
    <row r="65" spans="1:6" ht="14.25" thickBot="1" thickTop="1">
      <c r="A65" s="50">
        <f>ROUND((E23+((E25-E23)/98)*34),2)</f>
        <v>-4.53</v>
      </c>
      <c r="B65" s="62">
        <f>ROUND((((2.71828183^(D65))/(2.71828183^G31-2.71828183^(E31)))-(2.71828183^(E31)/(2.71828183^(G31)-2.71828183^(E31))))*100,2)</f>
        <v>0.4</v>
      </c>
      <c r="C65" s="63">
        <f>ROUND((-(-E11*E13)/(2.71828183^(G31)-2.71828183^(E31)))*(2.71828183^(-E13*A65+D65))*200,3)</f>
        <v>0.974</v>
      </c>
      <c r="D65" s="38">
        <f>(-E11*(2.71828183^(-E13*A65)))</f>
        <v>-0.004021940323648894</v>
      </c>
      <c r="F65" s="56"/>
    </row>
    <row r="66" spans="1:4" ht="14.25" thickBot="1" thickTop="1">
      <c r="A66" s="50">
        <f>ROUND((E23+((E25-E23)/98)*35),2)</f>
        <v>-4.43</v>
      </c>
      <c r="B66" s="62">
        <f>ROUND((((2.71828183^(D66))/(2.71828183^G31-2.71828183^(E31)))-(2.71828183^(E31)/(2.71828183^(G31)-2.71828183^(E31))))*100,2)</f>
        <v>0.45</v>
      </c>
      <c r="C66" s="63">
        <f>ROUND((-(-E11*E13)/(2.71828183^(G31)-2.71828183^(E31)))*(2.71828183^(-E13*A66+D66))*200,3)</f>
        <v>1.1</v>
      </c>
      <c r="D66" s="38">
        <f>(-E11*(2.71828183^(-E13*A66)))</f>
        <v>-0.0045419874329589065</v>
      </c>
    </row>
    <row r="67" spans="1:4" ht="14.25" thickBot="1" thickTop="1">
      <c r="A67" s="50">
        <f>ROUND((E23+((E25-E23)/98)*36),2)</f>
        <v>-4.33</v>
      </c>
      <c r="B67" s="62">
        <f>ROUND((((2.71828183^(D67))/(2.71828183^G31-2.71828183^(E31)))-(2.71828183^(E31)/(2.71828183^(G31)-2.71828183^(E31))))*100,2)</f>
        <v>0.51</v>
      </c>
      <c r="C67" s="63">
        <f>ROUND((-(-E11*E13)/(2.71828183^(G31)-2.71828183^(E31)))*(2.71828183^(-E13*A67+D67))*200,3)</f>
        <v>1.241</v>
      </c>
      <c r="D67" s="38">
        <f>(-E11*(2.71828183^(-E13*A67)))</f>
        <v>-0.005129277955680956</v>
      </c>
    </row>
    <row r="68" spans="1:4" ht="14.25" thickBot="1" thickTop="1">
      <c r="A68" s="50">
        <f>ROUND((E23+((E25-E23)/98)*37),2)</f>
        <v>-4.22</v>
      </c>
      <c r="B68" s="62">
        <f>ROUND((((2.71828183^(D68))/(2.71828183^G31-2.71828183^(E31)))-(2.71828183^(E31)/(2.71828183^(G31)-2.71828183^(E31))))*100,2)</f>
        <v>0.58</v>
      </c>
      <c r="C68" s="63">
        <f>ROUND((-(-E11*E13)/(2.71828183^(G31)-2.71828183^(E31)))*(2.71828183^(-E13*A68+D68))*200,3)</f>
        <v>1.418</v>
      </c>
      <c r="D68" s="38">
        <f>(-E11*(2.71828183^(-E13*A68)))</f>
        <v>-0.005863373645009022</v>
      </c>
    </row>
    <row r="69" spans="1:4" ht="14.25" thickBot="1" thickTop="1">
      <c r="A69" s="50">
        <f>ROUND((E23+((E25-E23)/98)*38),2)</f>
        <v>-4.12</v>
      </c>
      <c r="B69" s="62">
        <f>ROUND((((2.71828183^(D69))/(2.71828183^G31-2.71828183^(E31)))-(2.71828183^(E31)/(2.71828183^(G31)-2.71828183^(E31))))*100,2)</f>
        <v>0.65</v>
      </c>
      <c r="C69" s="63">
        <f>ROUND((-(-E11*E13)/(2.71828183^(G31)-2.71828183^(E31)))*(2.71828183^(-E13*A69+D69))*200,3)</f>
        <v>1.6</v>
      </c>
      <c r="D69" s="38">
        <f>(-E11*(2.71828183^(-E13*A69)))</f>
        <v>-0.00662152276446811</v>
      </c>
    </row>
    <row r="70" spans="1:4" ht="14.25" thickBot="1" thickTop="1">
      <c r="A70" s="50">
        <f>ROUND((E23+((E25-E23)/98)*39),2)</f>
        <v>-4.02</v>
      </c>
      <c r="B70" s="62">
        <f>ROUND((((2.71828183^(D70))/(2.71828183^G31-2.71828183^(E31)))-(2.71828183^(E31)/(2.71828183^(G31)-2.71828183^(E31))))*100,2)</f>
        <v>0.74</v>
      </c>
      <c r="C70" s="63">
        <f>ROUND((-(-E11*E13)/(2.71828183^(G31)-2.71828183^(E31)))*(2.71828183^(-E13*A70+D70))*200,3)</f>
        <v>1.805</v>
      </c>
      <c r="D70" s="38">
        <f>(-E11*(2.71828183^(-E13*A70)))</f>
        <v>-0.007477702492606877</v>
      </c>
    </row>
    <row r="71" spans="1:4" ht="14.25" thickBot="1" thickTop="1">
      <c r="A71" s="50">
        <f>ROUND((E23+((E25-E23)/98)*40),2)</f>
        <v>-3.92</v>
      </c>
      <c r="B71" s="62">
        <f>ROUND((((2.71828183^(D71))/(2.71828183^G31-2.71828183^(E31)))-(2.71828183^(E31)/(2.71828183^(G31)-2.71828183^(E31))))*100,2)</f>
        <v>0.84</v>
      </c>
      <c r="C71" s="63">
        <f>ROUND((-(-E11*E13)/(2.71828183^(G31)-2.71828183^(E31)))*(2.71828183^(-E13*A71+D71))*200,3)</f>
        <v>2.037</v>
      </c>
      <c r="D71" s="38">
        <f>(-E11*(2.71828183^(-E13*A71)))</f>
        <v>-0.008444588436362591</v>
      </c>
    </row>
    <row r="72" spans="1:4" ht="14.25" thickBot="1" thickTop="1">
      <c r="A72" s="50">
        <f>ROUND((E23+((E25-E23)/98)*41),2)</f>
        <v>-3.82</v>
      </c>
      <c r="B72" s="62">
        <f>ROUND((((2.71828183^(D72))/(2.71828183^G31-2.71828183^(E31)))-(2.71828183^(E31)/(2.71828183^(G31)-2.71828183^(E31))))*100,2)</f>
        <v>0.94</v>
      </c>
      <c r="C72" s="63">
        <f>ROUND((-(-E11*E13)/(2.71828183^(G31)-2.71828183^(E31)))*(2.71828183^(-E13*A72+D72))*200,3)</f>
        <v>2.297</v>
      </c>
      <c r="D72" s="38">
        <f>(-E11*(2.71828183^(-E13*A72)))</f>
        <v>-0.009536495190876253</v>
      </c>
    </row>
    <row r="73" spans="1:4" ht="14.25" thickBot="1" thickTop="1">
      <c r="A73" s="50">
        <f>ROUND((E23+((E25-E23)/98)*42),2)</f>
        <v>-3.71</v>
      </c>
      <c r="B73" s="62">
        <f>ROUND((((2.71828183^(D73))/(2.71828183^G31-2.71828183^(E31)))-(2.71828183^(E31)/(2.71828183^(G31)-2.71828183^(E31))))*100,2)</f>
        <v>1.08</v>
      </c>
      <c r="C73" s="63">
        <f>ROUND((-(-E11*E13)/(2.71828183^(G31)-2.71828183^(E31)))*(2.71828183^(-E13*A73+D73))*200,3)</f>
        <v>2.623</v>
      </c>
      <c r="D73" s="38">
        <f>(-E11*(2.71828183^(-E13*A73)))</f>
        <v>-0.010901346164328847</v>
      </c>
    </row>
    <row r="74" spans="1:4" ht="14.25" thickBot="1" thickTop="1">
      <c r="A74" s="50">
        <f>ROUND((E23+((E25-E23)/98)*43),2)</f>
        <v>-3.61</v>
      </c>
      <c r="B74" s="62">
        <f>ROUND((((2.71828183^(D74))/(2.71828183^G31-2.71828183^(E31)))-(2.71828183^(E31)/(2.71828183^(G31)-2.71828183^(E31))))*100,2)</f>
        <v>1.22</v>
      </c>
      <c r="C74" s="63">
        <f>ROUND((-(-E11*E13)/(2.71828183^(G31)-2.71828183^(E31)))*(2.71828183^(-E13*A74+D74))*200,3)</f>
        <v>2.958</v>
      </c>
      <c r="D74" s="38">
        <f>(-E11*(2.71828183^(-E13*A74)))</f>
        <v>-0.012310917939178939</v>
      </c>
    </row>
    <row r="75" spans="1:4" ht="14.25" thickBot="1" thickTop="1">
      <c r="A75" s="50">
        <f>ROUND((E23+((E25-E23)/98)*44),2)</f>
        <v>-3.51</v>
      </c>
      <c r="B75" s="62">
        <f>ROUND((((2.71828183^(D75))/(2.71828183^G31-2.71828183^(E31)))-(2.71828183^(E31)/(2.71828183^(G31)-2.71828183^(E31))))*100,2)</f>
        <v>1.37</v>
      </c>
      <c r="C75" s="63">
        <f>ROUND((-(-E11*E13)/(2.71828183^(G31)-2.71828183^(E31)))*(2.71828183^(-E13*A75+D75))*200,3)</f>
        <v>3.335</v>
      </c>
      <c r="D75" s="38">
        <f>(-E11*(2.71828183^(-E13*A75)))</f>
        <v>-0.013902750928240873</v>
      </c>
    </row>
    <row r="76" spans="1:4" ht="14.25" thickBot="1" thickTop="1">
      <c r="A76" s="50">
        <f>ROUND((E23+((E25-E23)/98)*45),2)</f>
        <v>-3.41</v>
      </c>
      <c r="B76" s="62">
        <f>ROUND((((2.71828183^(D76))/(2.71828183^G31-2.71828183^(E31)))-(2.71828183^(E31)/(2.71828183^(G31)-2.71828183^(E7))))*100,2)</f>
        <v>1.55</v>
      </c>
      <c r="C76" s="63">
        <f>ROUND((-(-E11*E13)/(2.71828183^(G31)-2.71828183^(E31)))*(2.71828183^(-E13*A76+D76))*200,3)</f>
        <v>3.759</v>
      </c>
      <c r="D76" s="38">
        <f>(-E11*(2.71828183^(-E13*A76)))</f>
        <v>-0.015700411969896785</v>
      </c>
    </row>
    <row r="77" spans="1:4" ht="14.25" thickBot="1" thickTop="1">
      <c r="A77" s="50">
        <f>ROUND((E23+((E25-E23)/98)*46),2)</f>
        <v>-3.31</v>
      </c>
      <c r="B77" s="62">
        <f>ROUND((((2.71828183^(D77))/(2.71828183^G31-2.71828183^(E31)))-(2.71828183^(E31)/(2.71828183^(G31)-2.71828183^(E31))))*100,2)</f>
        <v>1.75</v>
      </c>
      <c r="C77" s="63">
        <f>ROUND((-(-E11*E13)/(2.71828183^(G31)-2.71828183^(E31)))*(2.71828183^(-E13*A77+D77))*200,3)</f>
        <v>4.237</v>
      </c>
      <c r="D77" s="38">
        <f>(-E11*(2.71828183^(-E13*A77)))</f>
        <v>-0.01773051515464853</v>
      </c>
    </row>
    <row r="78" spans="1:4" ht="14.25" thickBot="1" thickTop="1">
      <c r="A78" s="50">
        <f>ROUND((E23+((E25-E23)/98)*47),2)</f>
        <v>-3.2</v>
      </c>
      <c r="B78" s="62">
        <f>ROUND((((2.71828183^(D78))/(2.71828183^G31-2.71828183^(E31)))-(2.71828183^(E31)/(2.71828183^(G31)-2.71828183^(E31))))*100,2)</f>
        <v>2</v>
      </c>
      <c r="C78" s="63">
        <f>ROUND((-(-E11*E13)/(2.71828183^(G31)-2.71828183^(E31)))*(2.71828183^(-E13*A78+D78))*200,3)</f>
        <v>4.831</v>
      </c>
      <c r="D78" s="38">
        <f>(-E11*(2.71828183^(-E13*A78)))</f>
        <v>-0.020268083767045062</v>
      </c>
    </row>
    <row r="79" spans="1:4" ht="14.25" thickBot="1" thickTop="1">
      <c r="A79" s="50">
        <f>ROUND((E23+((E25-E23)/98)*48),2)</f>
        <v>-3.1</v>
      </c>
      <c r="B79" s="62">
        <f>ROUND((((2.71828183^(D79))/(2.71828183^G31-2.71828183^(E31)))-(2.71828183^(E31)/(2.71828183^(G31)-2.71828183^(E31))))*100,2)</f>
        <v>2.26</v>
      </c>
      <c r="C79" s="63">
        <f>ROUND((-(-E11*E13)/(2.71828183^(G31)-2.71828183^(E68)))*(2.71828183^(-E13*A79+D79))*200,3)</f>
        <v>5.441</v>
      </c>
      <c r="D79" s="38">
        <f>(-E11*(2.71828183^(-E13*A79)))</f>
        <v>-0.022888798528108975</v>
      </c>
    </row>
    <row r="80" spans="1:4" ht="14.25" thickBot="1" thickTop="1">
      <c r="A80" s="50">
        <f>ROUND((E23+((E25-E23)/98)*49),2)</f>
        <v>-3</v>
      </c>
      <c r="B80" s="62">
        <f>ROUND((((2.71828183^(D80))/(2.71828183^G31-2.71828183^(E31)))-(2.71828183^(E31)/(2.71828183^(G31)-2.71828183^(E31))))*100,2)</f>
        <v>2.55</v>
      </c>
      <c r="C80" s="63">
        <f>ROUND((-(-E11*E13)/(2.71828183^(G31)-2.71828183^(E31)))*(2.71828183^(-E13*A80+D80))*200,3)</f>
        <v>6.126</v>
      </c>
      <c r="D80" s="38">
        <f>(-E11*(2.71828183^(-E13*A80)))</f>
        <v>-0.02584837837073653</v>
      </c>
    </row>
    <row r="81" spans="1:4" ht="14.25" thickBot="1" thickTop="1">
      <c r="A81" s="50">
        <f>ROUND((E23+((E25-E23)/98)*50),2)</f>
        <v>-2.9</v>
      </c>
      <c r="B81" s="62">
        <f>ROUND((((2.71828183^(D81))/(2.71828183^G31-2.71828183^(E31)))-(2.71828183^(E31)/(2.71828183^(G31)-2.71828183^(E31))))*100,2)</f>
        <v>2.87</v>
      </c>
      <c r="C81" s="63">
        <f>ROUND((-(-E11*E13)/(2.71828183^(G31)-2.71828183^(E31)))*(2.71828183^(-E13*A81+D81))*200,3)</f>
        <v>6.895</v>
      </c>
      <c r="D81" s="38">
        <f>(-E11*(2.71828183^(-E13*A81)))</f>
        <v>-0.029190639411511322</v>
      </c>
    </row>
    <row r="82" spans="1:4" ht="14.25" thickBot="1" thickTop="1">
      <c r="A82" s="50">
        <f>ROUND((E23+((E25-E23)/98)*51),2)</f>
        <v>-2.8</v>
      </c>
      <c r="B82" s="62">
        <f>ROUND((((2.71828183^(D82))/(2.71828183^G31-2.71828183^(E31)))-(2.71828183^(E31)/(2.71828183^(G31)-2.71828183^(E31))))*100,2)</f>
        <v>3.24</v>
      </c>
      <c r="C82" s="63">
        <f>ROUND((-(-E11*E13)/(2.71828183^(G31)-2.71828183^(E31)))*(2.71828183^(-E13*A82+D82))*200,3)</f>
        <v>7.758</v>
      </c>
      <c r="D82" s="38">
        <f>(-E11*(2.71828183^(-E13*A82)))</f>
        <v>-0.03296506330229019</v>
      </c>
    </row>
    <row r="83" spans="1:4" ht="14.25" thickBot="1" thickTop="1">
      <c r="A83" s="50">
        <f>ROUND((E23+((E25-E23)/98)*52),2)</f>
        <v>-2.69</v>
      </c>
      <c r="B83" s="62">
        <f>ROUND((((2.71828183^(D83))/(2.71828183^G31-2.71828183^(E31)))-(2.71828183^(E31)/(2.71828183^(G31)-2.71828183^(E31))))*100,2)</f>
        <v>3.69</v>
      </c>
      <c r="C83" s="63">
        <f>ROUND((-(-E11*E13)/(2.71828183^(G31)-2.71828183^(E31)))*(2.71828183^(-E13*A83+D83))*200,3)</f>
        <v>8.826</v>
      </c>
      <c r="D83" s="38">
        <f>(-E11*(2.71828183^(-E13*A83)))</f>
        <v>-0.03768298092690158</v>
      </c>
    </row>
    <row r="84" spans="1:4" ht="14.25" thickBot="1" thickTop="1">
      <c r="A84" s="50">
        <f>ROUND((E23+((E25-E23)/98)*53),2)</f>
        <v>-2.59</v>
      </c>
      <c r="B84" s="62">
        <f>ROUND((((2.71828183^(D84))/(2.71828183^G31-2.71828183^(E31)))-(2.71828183^(E31)/(2.71828183^(G31)-2.71828183^(E31))))*100,2)</f>
        <v>4.16</v>
      </c>
      <c r="C84" s="63">
        <f>ROUND((-(-E11*E13)/(2.71828183^(G31)-2.71828183^(E31)))*(2.71828183^(-E13*A84+D84))*200,3)</f>
        <v>9.919</v>
      </c>
      <c r="D84" s="38">
        <f>(-E11*(2.71828183^(-E13*A84)))</f>
        <v>-0.04255548616672077</v>
      </c>
    </row>
    <row r="85" spans="1:4" ht="14.25" thickBot="1" thickTop="1">
      <c r="A85" s="50">
        <f>ROUND((E23+((E25-E23)/98)*54),2)</f>
        <v>-2.49</v>
      </c>
      <c r="B85" s="62">
        <f>ROUND((((2.71828183^(D85))/(2.71828183^G31-2.71828183^(E31)))-(2.71828183^(E31)/(2.71828183^(G31)-2.71828183^(E31))))*100,2)</f>
        <v>4.69</v>
      </c>
      <c r="C85" s="63">
        <f>ROUND((-(-E11*E13)/(2.71828183^(G31)-2.71828183^(E31)))*(2.71828183^(-E13*A85+D85))*200,3)</f>
        <v>11.14</v>
      </c>
      <c r="D85" s="38">
        <f>(-E11*(2.71828183^(-E13*A85)))</f>
        <v>-0.04805801872200415</v>
      </c>
    </row>
    <row r="86" spans="1:4" ht="14.25" thickBot="1" thickTop="1">
      <c r="A86" s="50">
        <f>ROUND((E23+((E25-E23)/98)*55),2)</f>
        <v>-2.39</v>
      </c>
      <c r="B86" s="62">
        <f>ROUND((((2.71828183^(D86))/(2.71828183^G31-2.71828183^(E31)))-(2.71828183^(E31)/(2.71828183^(G31)-2.71828183^(E31))))*100,2)</f>
        <v>5.28</v>
      </c>
      <c r="C86" s="63">
        <f>ROUND((-(-E11*E13)/(2.71828183^(G31)-2.71828183^(E31)))*(2.71828183^(-E13*A86+D86))*200,3)</f>
        <v>12.503</v>
      </c>
      <c r="D86" s="38">
        <f>(-E11*(2.71828183^(-E13*A86)))</f>
        <v>-0.05427204272643546</v>
      </c>
    </row>
    <row r="87" spans="1:4" ht="14.25" thickBot="1" thickTop="1">
      <c r="A87" s="50">
        <f>ROUND((E23+((E25-E23)/98)*56),2)</f>
        <v>-2.29</v>
      </c>
      <c r="B87" s="62">
        <f>ROUND((((2.71828183^(D87))/(2.71828183^G31-2.71828183^(E31)))-(2.71828183^(E31)/(2.71828183^(G31)-2.71828183^(E31))))*100,2)</f>
        <v>5.94</v>
      </c>
      <c r="C87" s="63">
        <f>ROUND((-(-E11*E13)/(2.71828183^(G31)-2.71828183^(E31)))*(2.71828183^(-E13*A87+D87))*200,3)</f>
        <v>14.021</v>
      </c>
      <c r="D87" s="38">
        <f>(-E11*(2.71828183^(-E13*A87)))</f>
        <v>-0.06128955583329971</v>
      </c>
    </row>
    <row r="88" spans="1:4" ht="14.25" thickBot="1" thickTop="1">
      <c r="A88" s="50">
        <f>ROUND((E23+((E25-E23)/98)*57),2)</f>
        <v>-2.18</v>
      </c>
      <c r="B88" s="62">
        <f>ROUND((((2.71828183^(D88))/(2.71828183^G31-2.71828183^(E31)))-(2.71828183^(E31)/(2.71828183^(G31)-2.71828183^(E31))))*100,2)</f>
        <v>6.76</v>
      </c>
      <c r="C88" s="63">
        <f>ROUND((-(-E11*E13)/(2.71828183^(G31)-2.71828183^(E31)))*(2.71828183^(-E13*A88+D88))*200,3)</f>
        <v>15.887</v>
      </c>
      <c r="D88" s="38">
        <f>(-E11*(2.71828183^-(E13*A88)))</f>
        <v>-0.07006123853928864</v>
      </c>
    </row>
    <row r="89" spans="1:4" ht="14.25" thickBot="1" thickTop="1">
      <c r="A89" s="50">
        <f>ROUND((E23+((E25-E23)/98)*58),2)</f>
        <v>-2.08</v>
      </c>
      <c r="B89" s="62">
        <f>ROUND((((2.71828183^(D89))/(2.71828183^G31-2.71828183^(E31)))-(2.71828183^(E31)/(2.71828183^(G31)-2.71828183^(E31))))*100,2)</f>
        <v>7.6</v>
      </c>
      <c r="C89" s="63">
        <f>ROUND((-(-E11*E13)/(2.71828183^(G31)-2.71828183^(E31)))*(2.71828183^(-E13*A89+D89))*200,3)</f>
        <v>17.78</v>
      </c>
      <c r="D89" s="38">
        <f>(-E11*(2.71828183^(-E13*A89)))</f>
        <v>-0.07912033480752473</v>
      </c>
    </row>
    <row r="90" spans="1:4" ht="14.25" thickBot="1" thickTop="1">
      <c r="A90" s="50">
        <f>ROUND((E23+((E25-E23)/98)*59),2)</f>
        <v>-1.98</v>
      </c>
      <c r="B90" s="62">
        <f>ROUND((((2.71828183^(D90))/(2.71828183^G31-2.71828183^(E31)))-(2.71828183^(E31)/(2.71828183^(G31)-2.71828183^(E31))))*100,2)</f>
        <v>8.54</v>
      </c>
      <c r="C90" s="63">
        <f>ROUND((-(-E11*E13)/(2.71828183^(G31)-2.71828183^(E31)))*(2.71828183^(-E13*A90+D90))*200,3)</f>
        <v>19.874</v>
      </c>
      <c r="D90" s="38">
        <f>(-E11*(2.71828183^(-E13*A90)))</f>
        <v>-0.08935079525527284</v>
      </c>
    </row>
    <row r="91" spans="1:4" ht="14.25" thickBot="1" thickTop="1">
      <c r="A91" s="50">
        <f>ROUND((E23+((E25-E23)/98)*60),2)</f>
        <v>-1.88</v>
      </c>
      <c r="B91" s="62">
        <f>ROUND((((2.71828183^(D91))/(2.71828183^G31-2.71828183^(E31)))-(2.71828183^(E31)/(2.71828183^(G31)-2.71828183^(E31))))*100,2)</f>
        <v>9.59</v>
      </c>
      <c r="C91" s="63">
        <f>ROUND((-(-E11*E13)/(2.71828183^(G31)-2.71828183^(E31)))*(2.71828183^(-E13*A91+D91))*200,3)</f>
        <v>22.186</v>
      </c>
      <c r="D91" s="38">
        <f>(-E11*(2.71828183^(-E13*A91)))</f>
        <v>-0.10090408024904375</v>
      </c>
    </row>
    <row r="92" spans="1:4" ht="14.25" thickBot="1" thickTop="1">
      <c r="A92" s="50">
        <f>ROUND((E23+((E25-E23)/98)*61),2)</f>
        <v>-1.78</v>
      </c>
      <c r="B92" s="62">
        <f>ROUND((((2.71828183^(D92))/(2.71828183^G31-2.71828183^(E31)))-(2.71828183^(E31)/(2.71828183^(G31)-2.71828183^(E31))))*100,2)</f>
        <v>10.76</v>
      </c>
      <c r="C92" s="63">
        <f>ROUND((-(-E11*E13)/(2.71828183^(G31)-2.71828183^(E31)))*(2.71828183^(-E13*A92+D92))*200,3)</f>
        <v>24.73</v>
      </c>
      <c r="D92" s="38">
        <f>(-E11*(2.71828183^(-E13*A92)))</f>
        <v>-0.11395123436581402</v>
      </c>
    </row>
    <row r="93" spans="1:4" ht="14.25" thickBot="1" thickTop="1">
      <c r="A93" s="50">
        <f>ROUND((E23+((E25-E23)/98)*62),2)</f>
        <v>-1.67</v>
      </c>
      <c r="B93" s="62">
        <f>ROUND((((2.71828183^(D93))/(2.71828183^G31-2.71828183^(E31)))-(2.71828183^(E31)/(2.71828183^(G31)-2.71828183^(E31))))*100,2)</f>
        <v>12.21</v>
      </c>
      <c r="C93" s="63">
        <f>ROUND((-(-E11*E13)/(2.71828183^(G31)-2.71828183^(E31)))*(2.71828183^(-E13*A93+D93))*200,3)</f>
        <v>27.812</v>
      </c>
      <c r="D93" s="38">
        <f>(-E11*(2.71828183^(-E13*A93)))</f>
        <v>-0.13025978903263766</v>
      </c>
    </row>
    <row r="94" spans="1:4" ht="14.25" thickBot="1" thickTop="1">
      <c r="A94" s="50">
        <f>ROUND((E23+((E25-E23)/98)*63),2)</f>
        <v>-1.57</v>
      </c>
      <c r="B94" s="62">
        <f>ROUND((((2.71828183^(D94))/(2.71828183^G31-2.71828183^(E31)))-(2.71828183^(E31)/(2.71828183^(G31)-2.71828183^(E31))))*100,2)</f>
        <v>13.67</v>
      </c>
      <c r="C94" s="63">
        <f>ROUND((-(-E11*E13)/(2.71828183^(G31)-2.71828183^(E31)))*(2.71828183^(-E13*A94+D94))*200,3)</f>
        <v>30.884</v>
      </c>
      <c r="D94" s="38">
        <f>(-E11*(2.71828183^(-E13*A94)))</f>
        <v>-0.14710271092967273</v>
      </c>
    </row>
    <row r="95" spans="1:4" ht="14.25" thickBot="1" thickTop="1">
      <c r="A95" s="50">
        <f>ROUND((E23+((E25-E23)/98)*64),2)</f>
        <v>-1.47</v>
      </c>
      <c r="B95" s="62">
        <f>ROUND((((2.71828183^(D95))/(2.71828183^G31-2.71828183^(E31)))-(2.71828183^(E31)/(2.71828183^(G31)-2.71828183^(E31))))*100,2)</f>
        <v>15.3</v>
      </c>
      <c r="C95" s="63">
        <f>ROUND((-(-E11*E13)/(2.71828183^(G31)-2.71828183^(E31)))*(2.71828183^(-E13*A95+D95))*200,3)</f>
        <v>34.22</v>
      </c>
      <c r="D95" s="38">
        <f>(-E11*(2.71828183^(-E13*A95)))</f>
        <v>-0.1661234654497789</v>
      </c>
    </row>
    <row r="96" spans="1:4" ht="14.25" thickBot="1" thickTop="1">
      <c r="A96" s="50">
        <f>ROUND((E23+((E25+-E23)/98)*65),2)</f>
        <v>-1.37</v>
      </c>
      <c r="B96" s="62">
        <f>ROUND((((2.71828183^(D96))/(2.71828183^G31-2.71828183^(E31)))-(2.71828183^(E31)/(2.71828183^(G31)-2.71828183^(E31))))*100,2)</f>
        <v>17.1</v>
      </c>
      <c r="C96" s="63">
        <f>ROUND((-(-E11*E13)/(2.71828183^(G31)-2.71828183^(E31)))*(2.71828183^(-E13*A96+D96))*200,3)</f>
        <v>37.823</v>
      </c>
      <c r="D96" s="38">
        <f>(-E11*(2.71828183^(-E13*A96)))</f>
        <v>-0.18760365188808464</v>
      </c>
    </row>
    <row r="97" spans="1:4" ht="14.25" thickBot="1" thickTop="1">
      <c r="A97" s="50">
        <f>ROUND((E23+((E25+-E23)/98)*66),2)</f>
        <v>-1.27</v>
      </c>
      <c r="B97" s="62">
        <f>ROUND((((2.71828183^(D97))/(2.71828183^G31-2.71828183^(E31)))-(2.71828183^(E31)/(2.71828183^(G31)-2.71828183^(E31))))*100,2)</f>
        <v>19.09</v>
      </c>
      <c r="C97" s="63">
        <f>ROUND((-(-E11*E13)/(2.71828183^(G31)-2.71828183^(E31)))*(2.71828183^(-E13*A97+D97))*200,3)</f>
        <v>41.69</v>
      </c>
      <c r="D97" s="38">
        <f>(-E11*(2.71828183^(-E13*A97)))</f>
        <v>-0.2118612810445227</v>
      </c>
    </row>
    <row r="98" spans="1:4" ht="14.25" thickBot="1" thickTop="1">
      <c r="A98" s="50">
        <f>ROUND((E23+((E25-E23)/98)*67),2)</f>
        <v>-1.16</v>
      </c>
      <c r="B98" s="62">
        <f>ROUND((((2.71828183^(D98))/(2.71828183^G31-2.71828183^(E31)))-(2.71828183^(E31)/(2.71828183^(G31)-2.71828183^(E31))))*100,2)</f>
        <v>21.5</v>
      </c>
      <c r="C98" s="63">
        <f>ROUND((-(-E11*E13)/(2.71828183^(G31)-2.71828183^(E31)))*(2.71828183^(-E13*A98+D98))*200,3)</f>
        <v>46.234</v>
      </c>
      <c r="D98" s="38">
        <f>(-E11*(2.71828183^(-E13*A98)))</f>
        <v>-0.24218259614854276</v>
      </c>
    </row>
    <row r="99" spans="1:4" ht="14.25" thickBot="1" thickTop="1">
      <c r="A99" s="50">
        <f>ROUND((E23+((E25-E23)/98)*68),2)</f>
        <v>-1.06</v>
      </c>
      <c r="B99" s="62">
        <f>ROUND((((2.71828183^(D99))/(2.71828183^G31-2.71828183^(E31)))-(2.71828183^(E31)/(2.71828183^(G31)-2.71828183^(E31))))*100,2)</f>
        <v>23.92</v>
      </c>
      <c r="C99" s="63">
        <f>ROUND((-(-E11*E13)/(2.71828183^(G31)-2.71828183^(E31)))*(2.71828183^(-E13*A99+D99))*200,3)</f>
        <v>50.602</v>
      </c>
      <c r="D99" s="38">
        <f>(-E11*(2.71828183^(-E13*A99)))</f>
        <v>-0.2734974215604667</v>
      </c>
    </row>
    <row r="100" spans="1:4" ht="14.25" thickBot="1" thickTop="1">
      <c r="A100" s="50">
        <f>ROUND((E23+((E25-E23)/98)*69),2)</f>
        <v>-0.96</v>
      </c>
      <c r="B100" s="62">
        <f>ROUND((((2.71828183^(D100))/(2.71828183^G31-2.71828183^(E31)))-(2.71828183^(E31)/(2.71828183^(G31)-2.71828183^(E31))))*100,2)</f>
        <v>26.57</v>
      </c>
      <c r="C100" s="63">
        <f>ROUND((-(-E11*E13)/(2.71828183^(G31)-2.71828183^(E31)))*(2.71828183^(-E13*A100+D100))*200,3)</f>
        <v>55.16</v>
      </c>
      <c r="D100" s="38">
        <f>(-E11*(2.71828183^(-E13*A100)))</f>
        <v>-0.30886133351359635</v>
      </c>
    </row>
    <row r="101" spans="1:4" ht="14.25" thickBot="1" thickTop="1">
      <c r="A101" s="50">
        <f>ROUND((E23+((E25-E23)/98)*70),2)</f>
        <v>-0.86</v>
      </c>
      <c r="B101" s="62">
        <f>ROUND((((2.71828183^(D101))/(2.71828183^G31-2.71828183^(E31)))-(2.71828183^(E31)/(2.71828183^(G31)-2.71828183^(E31))))*100,2)</f>
        <v>29.44</v>
      </c>
      <c r="C101" s="63">
        <f>ROUND((-(-E11*E13)/(2.71828183^(G31)-2.71828183^(E31)))*(2.71828183^(-E13*A101+D101))*200,3)</f>
        <v>59.853</v>
      </c>
      <c r="D101" s="38">
        <f>(-E11*(2.71828183^(-E13*A101)))</f>
        <v>-0.3487978891921887</v>
      </c>
    </row>
    <row r="102" spans="1:4" ht="14.25" thickBot="1" thickTop="1">
      <c r="A102" s="50">
        <f>ROUND((E23+((E25-E23)/98)*71),2)</f>
        <v>-0.76</v>
      </c>
      <c r="B102" s="62">
        <f>ROUND((((2.71828183^(D102))/(2.71828183^G31-2.71828183^(E31)))-(2.71828183^(E31)/(2.71828183^(G31)-2.71828183^(E31))))*100,2)</f>
        <v>32.55</v>
      </c>
      <c r="C102" s="63">
        <f>ROUND((-(-E11*E13)/(2.71828183^(G31)-2.71828183^(E31)))*(2.71828183^(-E13*A102+D102))*200,3)</f>
        <v>64.612</v>
      </c>
      <c r="D102" s="38">
        <f>(-E11*(2.71828183^(-E13*A102)))</f>
        <v>-0.3938983430555275</v>
      </c>
    </row>
    <row r="103" spans="1:4" ht="14.25" thickBot="1" thickTop="1">
      <c r="A103" s="50">
        <f>ROUND((E23+((E25-E23)/98)*72),2)</f>
        <v>-0.65</v>
      </c>
      <c r="B103" s="62">
        <f>ROUND((((2.71828183^(D103))/(2.71828183^G31-2.71828183^(E31)))-(2.71828183^(E31)/(2.71828183^(G31)-2.71828183^(E31))))*100,2)</f>
        <v>36.25</v>
      </c>
      <c r="C103" s="63">
        <f>ROUND((-(-E11*E13)/(2.71828183^(G31)-2.71828183^(E31)))*(2.71828183^(-E13*A103+D103))*200,3)</f>
        <v>69.81</v>
      </c>
      <c r="D103" s="38">
        <f>(-E11*(2.71828183^(-E13*A103)))</f>
        <v>-0.4502725692466176</v>
      </c>
    </row>
    <row r="104" spans="1:4" ht="14.25" thickBot="1" thickTop="1">
      <c r="A104" s="50">
        <f>ROUND((E23+((E25-E23)/98)*73),2)</f>
        <v>-0.55</v>
      </c>
      <c r="B104" s="62">
        <f>ROUND((((2.71828183^(D104))/(2.71828183^G31-2.71828183^(E31)))-(2.71828183^(E31)/(2.71828183^(G31)-2.71828183^(E31))))*100,2)</f>
        <v>39.86</v>
      </c>
      <c r="C104" s="63">
        <f>ROUND((-(-E11*E13)/(2.71828183^(G31)-2.71828183^(E31)))*(2.71828183^(-E13*A104+D104))*200,3)</f>
        <v>74.378</v>
      </c>
      <c r="D104" s="38">
        <f>(-E11*(2.71828183^(-E13*A104)))</f>
        <v>-0.5084939572322675</v>
      </c>
    </row>
    <row r="105" spans="1:4" ht="14.25" thickBot="1" thickTop="1">
      <c r="A105" s="50">
        <f>ROUND((E23+((E25-E23)/98)*74),2)</f>
        <v>-0.45</v>
      </c>
      <c r="B105" s="62">
        <f>ROUND((((2.71828183^(D105))/(2.71828183^G31-2.71828183^(E31)))-(2.71828183^(E31)/(2.71828183^(G31)-2.71828183^(E31))))*100,2)</f>
        <v>43.68</v>
      </c>
      <c r="C105" s="63">
        <f>ROUND((-(-E11*E13)/(2.71828183^(G31)-2.71828183^(E31)))*(2.71828183^(-E13*A105+D105))*200,3)</f>
        <v>78.65</v>
      </c>
      <c r="D105" s="38">
        <f>(-E11*(2.71828183^(-E13*A105)))</f>
        <v>-0.5742435187076934</v>
      </c>
    </row>
    <row r="106" spans="1:4" ht="14.25" thickBot="1" thickTop="1">
      <c r="A106" s="50">
        <f>ROUND((E23+((E25-E23)/98)*75),2)</f>
        <v>-0.35</v>
      </c>
      <c r="B106" s="62">
        <f>ROUND((((2.71828183^(D106))/(2.71828183^G31-2.71828183^(E31)))-(2.71828183^(E31)/(2.71828183^(G31)-2.71828183^(E31))))*100,2)</f>
        <v>47.71</v>
      </c>
      <c r="C106" s="63">
        <f>ROUND((-(-E11*E13)/(2.71828183^(G31)-2.71828183^(E31)))*(2.71828183^(-E13*A106+D106))*200,3)</f>
        <v>82.464</v>
      </c>
      <c r="D106" s="38">
        <f>(-E11*(2.71828183^(-E13*A106)))</f>
        <v>-0.6484946656449031</v>
      </c>
    </row>
    <row r="107" spans="1:4" ht="14.25" thickBot="1" thickTop="1">
      <c r="A107" s="50">
        <f>ROUND((E23+((E25-E23)/98)*76),2)</f>
        <v>-0.24</v>
      </c>
      <c r="B107" s="62">
        <f>ROUND((((2.71828183^(D107))/(2.71828183^G31-2.71828183^(E31)))-(2.71828183^(E31))/(2.71828183^(G31)-2.71828183^(E31)))*100,2)</f>
        <v>52.35</v>
      </c>
      <c r="C107" s="52">
        <f>ROUND((-(-E11*E13)/(2.71828183^(G31)-2.71828183^(E31)))*(2.71828183^(-E13*A107+D107))*200,3)</f>
        <v>85.911</v>
      </c>
      <c r="D107" s="38">
        <f>(-E11*(2.71828183^(-E13*A107)))</f>
        <v>-0.7413063913332935</v>
      </c>
    </row>
    <row r="108" spans="1:4" ht="14.25" thickBot="1" thickTop="1">
      <c r="A108" s="50">
        <f>ROUND((E23+((E25-E23)/98)*77),2)</f>
        <v>-0.14</v>
      </c>
      <c r="B108" s="62">
        <f>ROUND((((2.71828183^(D108))/(2.71828183^G31-2.71828183^(E31)))-(2.71828183^(E31)/(2.71828183^(G31)-2.71828183^(E31))))*100,2)</f>
        <v>56.7</v>
      </c>
      <c r="C108" s="63">
        <f>ROUND((-(-E11*E13)/(2.71828183^(G31)-2.71828183^(E31)))*(2.71828183^(-E13*A108+D108))*200,3)</f>
        <v>88.152</v>
      </c>
      <c r="D108" s="38">
        <f>(-E11*(2.71828183^(-E13*A108)))</f>
        <v>-0.8371591924450102</v>
      </c>
    </row>
    <row r="109" spans="1:4" ht="14.25" thickBot="1" thickTop="1">
      <c r="A109" s="50">
        <f>ROUND((E23+((E25-E23)/98)*78),2)</f>
        <v>-0.04</v>
      </c>
      <c r="B109" s="62">
        <f>ROUND((((2.71828183^(D109))/(2.71828183^G31-2.71828183^(E31)))-(2.71828183^(E31)/(2.71828183^(G31)-2.71828183^(E31))))*100,2)</f>
        <v>61.15</v>
      </c>
      <c r="C109" s="63">
        <f>ROUND((-(-E11*E13)/(2.71828183^(G31)-2.71828183^(E31)))*(2.71828183^(-E13*A109+D109))*200,3)</f>
        <v>89.337</v>
      </c>
      <c r="D109" s="38">
        <f>(-E11*(2.71828183^(-E13*A109)))</f>
        <v>-0.9454060044385669</v>
      </c>
    </row>
    <row r="110" spans="1:4" ht="14.25" thickBot="1" thickTop="1">
      <c r="A110" s="50">
        <f>ROUND((E23+((E25-E23)/98)*79),2)</f>
        <v>0.06</v>
      </c>
      <c r="B110" s="62">
        <f>ROUND((((2.71828183^(D110))/(2.71828183^G31-2.71828183^(E31)))-(2.71828183^(E31)/(2.71828183^(G31)-2.71828183^(E31))))*100,2)</f>
        <v>65.62</v>
      </c>
      <c r="C110" s="63">
        <f>ROUND((-(-E11*E13)/(2.71828183^(G31)-2.71828183^(E31)))*(2.71828183^(-E13*A110+D110))*200,3)</f>
        <v>89.279</v>
      </c>
      <c r="D110" s="38">
        <f>(-E11*(2.71828183^(-E13*A110)))</f>
        <v>-1.0676494044317688</v>
      </c>
    </row>
    <row r="111" spans="1:4" ht="14.25" thickBot="1" thickTop="1">
      <c r="A111" s="50">
        <f>ROUND((E23+((E25-E23)/98)*80),2)</f>
        <v>0.16</v>
      </c>
      <c r="B111" s="62">
        <f>ROUND((((2.71828183^(D111))/(2.71828183^G31-2.71828183^(E31)))-(2.71828183^(E31)/(2.71828183^(G31)-2.71828183^(E31))))*100,2)</f>
        <v>70.05</v>
      </c>
      <c r="C111" s="63">
        <f>ROUND((-(-E11*E13)/(2.71828183^(G31)-2.71828183^(E31)))*(2.71828183^(-E13*A111+D111))*200,3)</f>
        <v>87.823</v>
      </c>
      <c r="D111" s="38">
        <f>(-E11*(2.71828183^(-E13*A111)))</f>
        <v>-1.205699186838178</v>
      </c>
    </row>
    <row r="112" spans="1:4" ht="14.25" thickBot="1" thickTop="1">
      <c r="A112" s="50">
        <f>ROUND((E23+((E25-E23)/98)*81),2)</f>
        <v>0.27</v>
      </c>
      <c r="B112" s="62">
        <f>ROUND((((2.71828183^(D112))/(2.71828183^G31-2.71828183^(E31)))-(2.71828183^(E31)/(2.71828183^(G31)-2.71828183^(E31))))*100,2)</f>
        <v>74.8</v>
      </c>
      <c r="C112" s="63">
        <f>ROUND((-(-E11*E13)/(2.71828183^(G31)-2.71828183^(E31)))*(2.71828183^(-E13*A112+D112))*200,3)</f>
        <v>84.48</v>
      </c>
      <c r="D112" s="38">
        <f>(-E11*(2.71828183^(-E13*A112)))</f>
        <v>-1.3782573097030082</v>
      </c>
    </row>
    <row r="113" spans="1:4" ht="14.25" thickBot="1" thickTop="1">
      <c r="A113" s="50">
        <f>ROUND((E23+((E25-E23)/98)*82),2)</f>
        <v>0.37</v>
      </c>
      <c r="B113" s="62">
        <f>ROUND((((2.71828183^(D113))/(2.71828183^G31-2.71828183^(E31)))-(2.71828183^(E31)/(2.71828183^(G31)-2.71828183^(E31))))*100,2)</f>
        <v>78.91</v>
      </c>
      <c r="C113" s="63">
        <f>ROUND((-(-E11*E13)/(2.71828183^(G31)-2.71828183^(E31)))*(2.71828183^(-E13*A113+D113))*200,3)</f>
        <v>79.831</v>
      </c>
      <c r="D113" s="38">
        <f>(-E11*(2.71828183^(-E13*A113)))</f>
        <v>-1.5564694839567916</v>
      </c>
    </row>
    <row r="114" spans="1:4" ht="14.25" thickBot="1" thickTop="1">
      <c r="A114" s="50">
        <f>ROUND((E23+((E25-E23)/98)*83),2)</f>
        <v>0.47</v>
      </c>
      <c r="B114" s="62">
        <f>ROUND((((2.71828183^(D114))/(2.71828183^G31-2.71828183^(E31)))-(2.71828183^(E31)/(2.71828183^(G31)-2.71828183^(E31))))*100,2)</f>
        <v>82.76</v>
      </c>
      <c r="C114" s="63">
        <f>ROUND((-(-E11*E13)/(2.71828183^(G31)-2.71828183^(E31)))*(2.71828183^(-E13*A114+D114))*200,3)</f>
        <v>73.718</v>
      </c>
      <c r="D114" s="38">
        <f>(-E11*(2.71828183^(-E13*A114)))</f>
        <v>-1.7577249454318158</v>
      </c>
    </row>
    <row r="115" spans="1:4" ht="14.25" thickBot="1" thickTop="1">
      <c r="A115" s="50">
        <f>ROUND((E23+((E25-E23)/98)*84),2)</f>
        <v>0.57</v>
      </c>
      <c r="B115" s="62">
        <f>ROUND((((2.71828183^(D115))/(2.71828183^G31-2.71828183^(E31)))-(2.71828183^(E31)/(2.71828183^(G31)-2.71828183^(E31))))*100,2)</f>
        <v>86.26</v>
      </c>
      <c r="C115" s="63">
        <f>ROUND((-(-E11*E13)/(2.71828183^(G31)-2.71828183^(E31)))*(2.71828183^(-E13*A115+D115))*200,3)</f>
        <v>66.326</v>
      </c>
      <c r="D115" s="38">
        <f>(-E11*(2.71828183^(-E13*A115)))</f>
        <v>-1.9850032497515053</v>
      </c>
    </row>
    <row r="116" spans="1:4" ht="14.25" thickBot="1" thickTop="1">
      <c r="A116" s="50">
        <f>ROUND((E23+((E25-E23)/98)*85),2)</f>
        <v>0.67</v>
      </c>
      <c r="B116" s="62">
        <f>ROUND((((2.71828183^(D116))/(2.71828183^G31-2.71828183^(E31)))-(2.71828183^(E31)/(2.71828183^(G31)-2.71828183^(E31))))*100,2)</f>
        <v>89.37</v>
      </c>
      <c r="C116" s="63">
        <f>ROUND((-(-E11*E13)/(2.71828183^(G31)-2.71828183^(E31)))*(2.71828183^(-E13*A116+D116))*200,3)</f>
        <v>57.946</v>
      </c>
      <c r="D116" s="38">
        <f>(-E11*(2.71828183^(-E13*A116)))</f>
        <v>-2.2416692166566765</v>
      </c>
    </row>
    <row r="117" spans="1:4" ht="14.25" thickBot="1" thickTop="1">
      <c r="A117" s="50">
        <f>ROUND((E23+((E25-E23)/98)*86),2)</f>
        <v>0.78</v>
      </c>
      <c r="B117" s="62">
        <f>ROUND((((2.71828183^(D117))/(2.71828183^G31-2.71828183^(E31)))-(2.71828183^(E31)/(2.71828183^(G31)-2.71828183^(E31))))*100,2)</f>
        <v>92.29</v>
      </c>
      <c r="C117" s="63">
        <f>ROUND((-(-E11*E13)/(2.71828183^(G31)-2.71828183^(E31)))*(2.71828183^(-E13*A117+D117))*200,3)</f>
        <v>48.06</v>
      </c>
      <c r="D117" s="38">
        <f>(-E11*(2.71828183^(-E13*A117)))</f>
        <v>-2.5624940428925984</v>
      </c>
    </row>
    <row r="118" spans="1:4" ht="14.25" thickBot="1" thickTop="1">
      <c r="A118" s="50">
        <f>ROUND((E23+((E25-E23)/98)*87),2)</f>
        <v>0.88</v>
      </c>
      <c r="B118" s="62">
        <f>ROUND((((2.71828183^(D118))/(2.71828183^G31-2.71828183^(E31)))-(2.71828183^(E31)/(2.71828183^(G31)-2.71828183^(E31))))*100,2)</f>
        <v>94.46</v>
      </c>
      <c r="C118" s="63">
        <f>ROUND((-(-E11*E13)/(2.71828183^(G31)-2.71828183^(E31)))*(2.71828183^(-E13*A118+D118))*200,3)</f>
        <v>38.967</v>
      </c>
      <c r="D118" s="38">
        <f>(-E11*(2.71828183^(-E13*A118)))</f>
        <v>-2.8938310375751533</v>
      </c>
    </row>
    <row r="119" spans="1:4" ht="14.25" thickBot="1" thickTop="1">
      <c r="A119" s="50">
        <f>ROUND((E23+((E25-E23)/98)*88),2)</f>
        <v>0.98</v>
      </c>
      <c r="B119" s="62">
        <f>ROUND((((2.71828183^(D119))/(2.71828183^G31-2.71828183^(E31)))-(2.71828183^(E31)/(2.71828183^(G31)-2.71828183^(E31))))*100,2)</f>
        <v>96.19</v>
      </c>
      <c r="C119" s="63">
        <f>ROUND((-(-E11*E13)/(2.71828183^(G31)-2.71828183^(E31)))*(2.71828183^(-E13*A119+D119))*200,3)</f>
        <v>30.269</v>
      </c>
      <c r="D119" s="38">
        <f>(-E11*(2.71828183^(-E13*A119)))</f>
        <v>-3.268010748068021</v>
      </c>
    </row>
    <row r="120" spans="1:4" ht="14.25" thickBot="1" thickTop="1">
      <c r="A120" s="50">
        <f>ROUND((E23+((E25-E23)/98)*89),2)</f>
        <v>1.08</v>
      </c>
      <c r="B120" s="62">
        <f>ROUND((((2.71828183^(D120))/(2.71828183^G31-2.71828183^(E31)))-(2.71828183^(E31)/(2.71828183^(G31)-2.71828183^(E31))))*100,2)</f>
        <v>97.51</v>
      </c>
      <c r="C120" s="63">
        <f>ROUND((-(-E11*E13)/(2.71828183^(G31)-2.71828183^(E31)))*(2.71828183^(-E13*A120+D120))*200,3)</f>
        <v>22.402</v>
      </c>
      <c r="D120" s="38">
        <f>(-E11*(2.71828183^(-E13*A120)))</f>
        <v>-3.690572846449661</v>
      </c>
    </row>
    <row r="121" spans="1:4" ht="14.25" thickBot="1" thickTop="1">
      <c r="A121" s="50">
        <f>ROUND((E23+((E25-E23)/98)*90),2)</f>
        <v>1.18</v>
      </c>
      <c r="B121" s="62">
        <f>ROUND((((2.71828183^(D121))/(2.71828183^G31-2.71828183^(E31)))-(2.71828183^(E31)/(2.71828183^(G31)-2.71828183^(E31))))*100,2)</f>
        <v>98.45</v>
      </c>
      <c r="C121" s="63">
        <f>ROUND((-(-E11*E13)/(2.71828183^(G31)-2.71828183^(E31)))*(2.71828183^(-E13*A121+D121))*200,3)</f>
        <v>15.699</v>
      </c>
      <c r="D121" s="38">
        <f>(-E11*(2.71828183^(-E13*A121)))</f>
        <v>-4.167773298482448</v>
      </c>
    </row>
    <row r="122" spans="1:4" ht="14.25" thickBot="1" thickTop="1">
      <c r="A122" s="50">
        <f>ROUND((E23+((E25-E23)/98)*91),2)</f>
        <v>1.29</v>
      </c>
      <c r="B122" s="62">
        <f>ROUND((((2.71828183^(D122))/(2.71828183^G31-2.71828183^(E31)))-(2.71828183^(E31)/(2.71828183^(G31)-2.71828183^(E31))))*100,2)</f>
        <v>99.15</v>
      </c>
      <c r="C122" s="63">
        <f>ROUND((-(-E11*E13)/(2.71828183^(G31)-2.71828183^(E31)))*(2.71828183^(-E13*A122+D122))*200,3)</f>
        <v>9.883</v>
      </c>
      <c r="D122" s="38">
        <f>(-E11*(2.71828183^(-E13*A122)))</f>
        <v>-4.7642596731629165</v>
      </c>
    </row>
    <row r="123" spans="1:4" ht="14.25" thickBot="1" thickTop="1">
      <c r="A123" s="50">
        <f>ROUND((E23+((E25-E23)/98)*92),2)</f>
        <v>1.39</v>
      </c>
      <c r="B123" s="62">
        <f>ROUND((((2.71828183^(D123))/(2.71828183^G31-2.71828183^(E31)))-(2.71828183^(E31)/(2.71828183^(G31)-2.71828183^(E31))))*100,2)</f>
        <v>99.54</v>
      </c>
      <c r="C123" s="63">
        <f>ROUND((-(-E11*E13)/(2.71828183^(G31)-2.71828183^(E31)))*(2.71828183^(-E13*A123+D123))*200,3)</f>
        <v>6.028</v>
      </c>
      <c r="D123" s="38">
        <f>(-E11*(2.71828183^(-E13*A123)))</f>
        <v>-5.380290561652773</v>
      </c>
    </row>
    <row r="124" spans="1:4" ht="14.25" thickBot="1" thickTop="1">
      <c r="A124" s="50">
        <f>ROUND((E23+((E25-E23)/98)*93),2)</f>
        <v>1.49</v>
      </c>
      <c r="B124" s="62">
        <f>ROUND((((2.71828183^(D124))/(2.71828183^G31-2.71828183^(E31)))-(2.71828183^(E31)/(2.71828183^(G31)-2.71828183^(E31))))*100,2)</f>
        <v>99.77</v>
      </c>
      <c r="C124" s="63">
        <f>ROUND((-(-E11*E13)/(2.71828183^(G31)-2.71828183^(E31)))*(2.71828183^(-E13*A124+D124))*200,3)</f>
        <v>3.395</v>
      </c>
      <c r="D124" s="38">
        <f>(-E11*(2.71828183^(-E13*A124)))</f>
        <v>-6.075975810233724</v>
      </c>
    </row>
    <row r="125" spans="1:4" ht="14.25" thickBot="1" thickTop="1">
      <c r="A125" s="50">
        <f>ROUND((E23+((E25-E23)/98)*94),2)</f>
        <v>1.59</v>
      </c>
      <c r="B125" s="62">
        <f>ROUND((((2.71828183^(D125))/(2.71828183^G31-2.71828183^(E31)))-(2.71828183^(E31)/(2.71828183^(G31)-2.71828183^(E31))))*100,2)</f>
        <v>99.9</v>
      </c>
      <c r="C125" s="63">
        <f>ROUND((-(-E11*E13)/(2.71828183^(G31)-2.71828183^(E31)))*(2.71828183^(-E13*A125+D125))*200,3)</f>
        <v>1.748</v>
      </c>
      <c r="D125" s="38">
        <f>(-E11*(2.71828183^(-E13*A125)))</f>
        <v>-6.861614930180404</v>
      </c>
    </row>
    <row r="126" spans="1:4" ht="14.25" thickBot="1" thickTop="1">
      <c r="A126" s="50">
        <f>ROUND((E23+((E25-E23)/98)*95),2)</f>
        <v>1.69</v>
      </c>
      <c r="B126" s="62">
        <f>ROUND((((2.71828183^(D126))/(2.71828183^G31-2.71828183^(E31)))-(2.71828183^(E31)/(2.71828183^(G31)-2.71828183^(E31))))*100,2)</f>
        <v>99.96</v>
      </c>
      <c r="C126" s="63">
        <f>ROUND((-(-E11*E13)/(2.71828183^(G31)-2.71828183^(E31)))*(2.71828183^(-E13*A126+D126))*200,3)</f>
        <v>0.813</v>
      </c>
      <c r="D126" s="38">
        <f>(-E11*(2.71828183^(-E13*A126)))</f>
        <v>-7.748839185760931</v>
      </c>
    </row>
    <row r="127" spans="1:4" ht="14.25" thickBot="1" thickTop="1">
      <c r="A127" s="50">
        <f>ROUND((E23+((E25-E23)/98)*96),2)</f>
        <v>1.8</v>
      </c>
      <c r="B127" s="62">
        <f>ROUND((((2.71828183^(D127))/(2.71828183^(G31)-2.71828183^(E31)))-(2.71828183^(E31)/(2.71828183^(G31)-2.71828183^(E31))))*100,2)</f>
        <v>99.99</v>
      </c>
      <c r="C127" s="63">
        <f>ROUND((-(-E11*E13)/(2.71828183^(G31)-2.71828183^(E116)))*(2.71828183^(-E13*A127+D127))*200,3)</f>
        <v>0.306</v>
      </c>
      <c r="D127" s="38">
        <f>(-E11*(2.71828183^(-E13*A127)))</f>
        <v>-8.857843122126535</v>
      </c>
    </row>
    <row r="128" spans="1:4" ht="14.25" thickBot="1" thickTop="1">
      <c r="A128" s="50">
        <f>ROUND((E23+((E25-E23)/98)*97),2)</f>
        <v>1.9</v>
      </c>
      <c r="B128" s="62">
        <f>ROUND((((2.71828183^(D128))/(2.71828183^G31-2.71828183^(E31)))-(2.71828183^(E31)/(2.71828183^(G31)-2.71828183^(E31))))*100,2)</f>
        <v>100</v>
      </c>
      <c r="C128" s="63">
        <f>ROUND((-(-E11*E13)/(2.71828183^(G31)-2.71828183^(E31)))*(2.71828183^(-E13*A128+D128))*200,3)</f>
        <v>0.11</v>
      </c>
      <c r="D128" s="38">
        <f>(-E11*(2.71828183^(-E13*A128)))</f>
        <v>-10.003184758176516</v>
      </c>
    </row>
    <row r="129" spans="1:4" ht="14.25" thickBot="1" thickTop="1">
      <c r="A129" s="50">
        <f>ROUND((E23+((E25-E23)/98)*98),2)</f>
        <v>2</v>
      </c>
      <c r="B129" s="62">
        <f>ROUND((((2.71828183^(D129))/(2.71828183^G31-2.71828183^(E31)))-(2.71828183^(E31)/(2.71828183^(G31)-2.71828183^(E31))))*100,2)</f>
        <v>100</v>
      </c>
      <c r="C129" s="63">
        <f>ROUND((-(-E11*E13)/(2.71828183^(G31)-2.71828183^(E31)))*(2.71828183^(-E13*A129+D129))*200,3)</f>
        <v>0.034</v>
      </c>
      <c r="D129" s="38">
        <f>(-E11*(2.71828183^(-E13*A129)))</f>
        <v>-11.29662197970744</v>
      </c>
    </row>
    <row r="130" spans="1:4" ht="13.5" thickTop="1">
      <c r="A130" s="2"/>
      <c r="B130" s="2"/>
      <c r="C130" s="2"/>
      <c r="D130" s="68"/>
    </row>
  </sheetData>
  <mergeCells count="4">
    <mergeCell ref="D29:G29"/>
    <mergeCell ref="A29:C29"/>
    <mergeCell ref="E28:H28"/>
    <mergeCell ref="F33:G33"/>
  </mergeCells>
  <hyperlinks>
    <hyperlink ref="D3" r:id="rId1" display="http://www.oekopriority.com/upload/download/ERWEITERUNG_TREND_SS_Teil_Statistik.pdf"/>
  </hyperlinks>
  <printOptions/>
  <pageMargins left="0.75" right="0.75" top="1" bottom="1" header="0.4921259845" footer="0.492125984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Cellular Glass Engineering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Heinz Bangerter</dc:creator>
  <cp:keywords/>
  <dc:description/>
  <cp:lastModifiedBy> Heinz Bangerter</cp:lastModifiedBy>
  <cp:lastPrinted>2012-08-17T11:55:51Z</cp:lastPrinted>
  <dcterms:created xsi:type="dcterms:W3CDTF">2012-08-15T14:24:02Z</dcterms:created>
  <dcterms:modified xsi:type="dcterms:W3CDTF">2012-08-23T09:37:09Z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