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Heinz\Desktop\"/>
    </mc:Choice>
  </mc:AlternateContent>
  <xr:revisionPtr revIDLastSave="0" documentId="13_ncr:1_{F253515E-D0A6-4252-82CE-D84BE9A9538C}" xr6:coauthVersionLast="40" xr6:coauthVersionMax="40" xr10:uidLastSave="{00000000-0000-0000-0000-000000000000}"/>
  <bookViews>
    <workbookView xWindow="-108" yWindow="-108" windowWidth="23256" windowHeight="12576" tabRatio="504" firstSheet="1" activeTab="1" xr2:uid="{00000000-000D-0000-FFFF-FFFF00000000}"/>
  </bookViews>
  <sheets>
    <sheet name="NUR MIT PASSWORT" sheetId="13" r:id="rId1"/>
    <sheet name="THEMA + INHALT" sheetId="18" r:id="rId2"/>
    <sheet name="FALL 1" sheetId="1" state="hidden" r:id="rId3"/>
    <sheet name="FALL 2" sheetId="2" state="hidden" r:id="rId4"/>
    <sheet name="FALL 3" sheetId="15" state="hidden" r:id="rId5"/>
    <sheet name="FALL A" sheetId="19" r:id="rId6"/>
    <sheet name="FALL B" sheetId="20" r:id="rId7"/>
    <sheet name="FALL 4" sheetId="14" state="hidden" r:id="rId8"/>
    <sheet name="FALL 5" sheetId="16" state="hidden" r:id="rId9"/>
    <sheet name="FALL C" sheetId="21" r:id="rId10"/>
    <sheet name="FALL D" sheetId="22" r:id="rId11"/>
    <sheet name="FALL E" sheetId="23" r:id="rId12"/>
    <sheet name="FALL GV" sheetId="24" r:id="rId13"/>
    <sheet name="FALL 6" sheetId="17" state="hidden" r:id="rId14"/>
  </sheets>
  <definedNames>
    <definedName name="ANZAHLLEERZELLEN">'NUR MIT PASSWORT'!$B$45</definedName>
    <definedName name="_xlnm.Print_Area" localSheetId="2">'FALL 1'!$A$1:$N$26</definedName>
    <definedName name="_xlnm.Print_Area" localSheetId="3">'FALL 2'!$A$1:$N$26</definedName>
    <definedName name="_xlnm.Print_Area" localSheetId="4">'FALL 3'!$A$1:$N$27</definedName>
    <definedName name="_xlnm.Print_Area" localSheetId="7">'FALL 4'!$A$1:$N$27</definedName>
    <definedName name="_xlnm.Print_Area" localSheetId="8">'FALL 5'!$A$1:$N$27</definedName>
    <definedName name="_xlnm.Print_Area" localSheetId="13">'FALL 6'!$A$1:$D$26,'FALL 6'!$E$1:$N$27</definedName>
    <definedName name="_xlnm.Print_Area" localSheetId="0">'NUR MIT PASSWORT'!$A$1:$L$30</definedName>
    <definedName name="_xlnm.Print_Area" localSheetId="1">'THEMA + INHALT'!$A$1:$R$47</definedName>
    <definedName name="solver_adj" localSheetId="2" hidden="1">'FALL 1'!$E$161</definedName>
    <definedName name="solver_adj" localSheetId="3" hidden="1">'FALL 2'!$F$64</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ng" localSheetId="2" hidden="1">1</definedName>
    <definedName name="solver_eng" localSheetId="3" hidden="1">1</definedName>
    <definedName name="solver_est" localSheetId="2" hidden="1">1</definedName>
    <definedName name="solver_est" localSheetId="3" hidden="1">1</definedName>
    <definedName name="solver_itr" localSheetId="2" hidden="1">2147483647</definedName>
    <definedName name="solver_itr" localSheetId="3" hidden="1">2147483647</definedName>
    <definedName name="solver_mip" localSheetId="2" hidden="1">2147483647</definedName>
    <definedName name="solver_mip" localSheetId="3" hidden="1">2147483647</definedName>
    <definedName name="solver_mni" localSheetId="2" hidden="1">30</definedName>
    <definedName name="solver_mni" localSheetId="3" hidden="1">30</definedName>
    <definedName name="solver_mrt" localSheetId="2" hidden="1">0.075</definedName>
    <definedName name="solver_mrt" localSheetId="3" hidden="1">0.075</definedName>
    <definedName name="solver_msl" localSheetId="2" hidden="1">2</definedName>
    <definedName name="solver_msl" localSheetId="3" hidden="1">2</definedName>
    <definedName name="solver_neg" localSheetId="2" hidden="1">1</definedName>
    <definedName name="solver_neg" localSheetId="3" hidden="1">1</definedName>
    <definedName name="solver_nod" localSheetId="2" hidden="1">2147483647</definedName>
    <definedName name="solver_nod" localSheetId="3" hidden="1">2147483647</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'FALL 1'!$E$153</definedName>
    <definedName name="solver_opt" localSheetId="3" hidden="1">'FALL 2'!$F$56</definedName>
    <definedName name="solver_pre" localSheetId="2" hidden="1">0.000001</definedName>
    <definedName name="solver_pre" localSheetId="3" hidden="1">0.000001</definedName>
    <definedName name="solver_rbv" localSheetId="2" hidden="1">1</definedName>
    <definedName name="solver_rbv" localSheetId="3" hidden="1">1</definedName>
    <definedName name="solver_rlx" localSheetId="2" hidden="1">2</definedName>
    <definedName name="solver_rlx" localSheetId="3" hidden="1">2</definedName>
    <definedName name="solver_rsd" localSheetId="2" hidden="1">0</definedName>
    <definedName name="solver_rsd" localSheetId="3" hidden="1">0</definedName>
    <definedName name="solver_scl" localSheetId="2" hidden="1">1</definedName>
    <definedName name="solver_scl" localSheetId="3" hidden="1">1</definedName>
    <definedName name="solver_sho" localSheetId="2" hidden="1">2</definedName>
    <definedName name="solver_sho" localSheetId="3" hidden="1">2</definedName>
    <definedName name="solver_ssz" localSheetId="2" hidden="1">100</definedName>
    <definedName name="solver_ssz" localSheetId="3" hidden="1">100</definedName>
    <definedName name="solver_tim" localSheetId="2" hidden="1">2147483647</definedName>
    <definedName name="solver_tim" localSheetId="3" hidden="1">2147483647</definedName>
    <definedName name="solver_tol" localSheetId="2" hidden="1">0.01</definedName>
    <definedName name="solver_tol" localSheetId="3" hidden="1">0.01</definedName>
    <definedName name="solver_typ" localSheetId="2" hidden="1">1</definedName>
    <definedName name="solver_typ" localSheetId="3" hidden="1">1</definedName>
    <definedName name="solver_val" localSheetId="2" hidden="1">1</definedName>
    <definedName name="solver_ver" localSheetId="2" hidden="1">3</definedName>
    <definedName name="solver_ver" localSheetId="3"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24" l="1"/>
  <c r="G11" i="24"/>
  <c r="D11" i="24"/>
  <c r="A1" i="24"/>
  <c r="C1" i="24"/>
  <c r="D1" i="24"/>
  <c r="D11" i="23"/>
  <c r="G11" i="23"/>
  <c r="A1" i="23"/>
  <c r="C1" i="23"/>
  <c r="D1" i="23"/>
  <c r="D11" i="22"/>
  <c r="A1" i="22"/>
  <c r="C1" i="22"/>
  <c r="D1" i="22"/>
  <c r="G11" i="22"/>
  <c r="A1" i="21" l="1"/>
  <c r="C1" i="21"/>
  <c r="D1" i="21"/>
  <c r="A11" i="21"/>
  <c r="D11" i="21"/>
  <c r="G11" i="21"/>
  <c r="G11" i="20" l="1"/>
  <c r="A1" i="20" l="1"/>
  <c r="C1" i="20"/>
  <c r="D1" i="20"/>
  <c r="A11" i="20"/>
  <c r="D11" i="20"/>
  <c r="A1" i="19"/>
  <c r="C1" i="19"/>
  <c r="D1" i="19"/>
  <c r="D11" i="19"/>
  <c r="C74" i="17" l="1"/>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76" i="15"/>
  <c r="C77" i="15" s="1"/>
  <c r="C78" i="15" s="1"/>
  <c r="C79" i="15" s="1"/>
  <c r="C80" i="15" s="1"/>
  <c r="C81" i="15" s="1"/>
  <c r="C82" i="15" s="1"/>
  <c r="C83" i="15" s="1"/>
  <c r="C84" i="15" s="1"/>
  <c r="C85" i="15" s="1"/>
  <c r="C86" i="15" s="1"/>
  <c r="C87" i="15" s="1"/>
  <c r="C88" i="15" s="1"/>
  <c r="C89" i="15" s="1"/>
  <c r="C90" i="15" s="1"/>
  <c r="C91" i="15" s="1"/>
  <c r="C92" i="15" s="1"/>
  <c r="C93" i="15" s="1"/>
  <c r="C94" i="15" s="1"/>
  <c r="C95" i="15" s="1"/>
  <c r="C96" i="15" s="1"/>
  <c r="C97" i="15" s="1"/>
  <c r="C98" i="15" s="1"/>
  <c r="C99" i="15" s="1"/>
  <c r="C100" i="15" s="1"/>
  <c r="C101" i="15" s="1"/>
  <c r="C102" i="15" s="1"/>
  <c r="C103" i="15" s="1"/>
  <c r="C104" i="15" s="1"/>
  <c r="C105" i="15" s="1"/>
  <c r="C106" i="15" s="1"/>
  <c r="C107" i="15" s="1"/>
  <c r="C108" i="15" s="1"/>
  <c r="C109" i="15" s="1"/>
  <c r="C110" i="15" s="1"/>
  <c r="C111" i="15" s="1"/>
  <c r="C112" i="15" s="1"/>
  <c r="C113" i="15" s="1"/>
  <c r="C114" i="15" s="1"/>
  <c r="C115" i="15" s="1"/>
  <c r="C116" i="15" s="1"/>
  <c r="C117" i="15" s="1"/>
  <c r="C118" i="15" s="1"/>
  <c r="C119" i="15" s="1"/>
  <c r="C120" i="15" s="1"/>
  <c r="C121" i="15" s="1"/>
  <c r="C122" i="15" s="1"/>
  <c r="C123" i="15" s="1"/>
  <c r="C124" i="15" s="1"/>
  <c r="C125" i="15" s="1"/>
  <c r="C126" i="15" s="1"/>
  <c r="C127" i="15" s="1"/>
  <c r="C128" i="15" s="1"/>
  <c r="C129" i="15" s="1"/>
  <c r="C130" i="15" s="1"/>
  <c r="C131" i="15" s="1"/>
  <c r="C132" i="15" s="1"/>
  <c r="C133" i="15" s="1"/>
  <c r="C134" i="15" s="1"/>
  <c r="C135" i="15" s="1"/>
  <c r="C136" i="15" s="1"/>
  <c r="C137" i="15" s="1"/>
  <c r="C138" i="15" s="1"/>
  <c r="C139" i="15" s="1"/>
  <c r="C140" i="15" s="1"/>
  <c r="C141" i="15" s="1"/>
  <c r="C142" i="15" s="1"/>
  <c r="C143" i="15" s="1"/>
  <c r="C144" i="15" s="1"/>
  <c r="C145" i="15" s="1"/>
  <c r="C146" i="15" s="1"/>
  <c r="C147" i="15" s="1"/>
  <c r="C148" i="15" s="1"/>
  <c r="C149" i="15" s="1"/>
  <c r="C150" i="15" s="1"/>
  <c r="C151" i="15" s="1"/>
  <c r="C152" i="15" s="1"/>
  <c r="C153" i="15" s="1"/>
  <c r="C154" i="15" s="1"/>
  <c r="C155" i="15" s="1"/>
  <c r="C156" i="15" s="1"/>
  <c r="C157" i="15" s="1"/>
  <c r="C158" i="15" s="1"/>
  <c r="C159" i="15" s="1"/>
  <c r="C160" i="15" s="1"/>
  <c r="C161" i="15" s="1"/>
  <c r="C162" i="15" s="1"/>
  <c r="C163" i="15" s="1"/>
  <c r="C164" i="15" s="1"/>
  <c r="C165" i="15" s="1"/>
  <c r="C166" i="15" s="1"/>
  <c r="C167" i="15" s="1"/>
  <c r="C168" i="15" s="1"/>
  <c r="C169" i="15" s="1"/>
  <c r="C170" i="15" s="1"/>
  <c r="C171" i="15" s="1"/>
  <c r="C172" i="15" s="1"/>
  <c r="C173" i="15" s="1"/>
  <c r="C75" i="15"/>
  <c r="I176" i="17" l="1"/>
  <c r="H139" i="17"/>
  <c r="H105" i="17"/>
  <c r="H96" i="17"/>
  <c r="H91" i="17"/>
  <c r="H86" i="17"/>
  <c r="I176" i="16"/>
  <c r="H139" i="15"/>
  <c r="H105" i="15"/>
  <c r="H96" i="15"/>
  <c r="H91" i="15"/>
  <c r="H86" i="15"/>
  <c r="I176" i="14"/>
  <c r="I176" i="15"/>
  <c r="H173" i="15" s="1"/>
  <c r="I176" i="2"/>
  <c r="H139" i="2"/>
  <c r="H105" i="2"/>
  <c r="H96" i="2"/>
  <c r="H91" i="2"/>
  <c r="H86" i="2"/>
  <c r="H139" i="1" l="1"/>
  <c r="H105" i="1"/>
  <c r="H96" i="1"/>
  <c r="H91" i="1"/>
  <c r="H86" i="1"/>
  <c r="I176" i="1"/>
  <c r="B23" i="15" l="1"/>
  <c r="B22" i="15"/>
  <c r="K80" i="1" l="1"/>
  <c r="N6" i="17"/>
  <c r="M6" i="17"/>
  <c r="L6" i="17"/>
  <c r="K6" i="17"/>
  <c r="J6" i="17"/>
  <c r="I6" i="17"/>
  <c r="H6" i="17"/>
  <c r="G6" i="17"/>
  <c r="F6" i="17"/>
  <c r="E6" i="17"/>
  <c r="M5" i="17"/>
  <c r="K5" i="17"/>
  <c r="I5" i="17"/>
  <c r="G5" i="17"/>
  <c r="E5" i="17"/>
  <c r="H4" i="17"/>
  <c r="E4" i="17"/>
  <c r="J3" i="17"/>
  <c r="H3" i="17"/>
  <c r="E3" i="17"/>
  <c r="H2" i="17"/>
  <c r="E2" i="17"/>
  <c r="K74" i="17" l="1"/>
  <c r="C66" i="14" l="1"/>
  <c r="F44" i="17"/>
  <c r="E45" i="17"/>
  <c r="F38" i="17"/>
  <c r="B51" i="17"/>
  <c r="F45" i="17" l="1"/>
  <c r="B57" i="17"/>
  <c r="E56" i="17"/>
  <c r="F56" i="17" s="1"/>
  <c r="E63" i="17"/>
  <c r="F63" i="17" s="1"/>
  <c r="E47" i="17"/>
  <c r="F47" i="17" s="1"/>
  <c r="E62" i="17"/>
  <c r="F62" i="17" s="1"/>
  <c r="E54" i="17"/>
  <c r="F54" i="17" s="1"/>
  <c r="E46" i="17"/>
  <c r="F46" i="17" s="1"/>
  <c r="E61" i="17"/>
  <c r="F61" i="17" s="1"/>
  <c r="E53" i="17"/>
  <c r="F53" i="17" s="1"/>
  <c r="E64" i="17"/>
  <c r="F64" i="17" s="1"/>
  <c r="E48" i="17"/>
  <c r="F48" i="17" s="1"/>
  <c r="E52" i="17"/>
  <c r="F52" i="17" s="1"/>
  <c r="E59" i="17"/>
  <c r="F59" i="17" s="1"/>
  <c r="E51" i="17"/>
  <c r="F51" i="17" s="1"/>
  <c r="E58" i="17"/>
  <c r="F58" i="17" s="1"/>
  <c r="E50" i="17"/>
  <c r="F50" i="17" s="1"/>
  <c r="E55" i="17"/>
  <c r="F55" i="17" s="1"/>
  <c r="E60" i="17"/>
  <c r="F60" i="17" s="1"/>
  <c r="E65" i="17"/>
  <c r="F65" i="17" s="1"/>
  <c r="E57" i="17"/>
  <c r="F57" i="17" s="1"/>
  <c r="E49" i="17"/>
  <c r="F49" i="17" s="1"/>
  <c r="L175" i="17"/>
  <c r="K75" i="17"/>
  <c r="C69" i="17"/>
  <c r="C68" i="17"/>
  <c r="C67" i="17"/>
  <c r="C66" i="17"/>
  <c r="F39" i="17"/>
  <c r="F36" i="17" s="1"/>
  <c r="B55" i="17" l="1"/>
  <c r="C65" i="17" s="1"/>
  <c r="K38" i="16"/>
  <c r="K37" i="16"/>
  <c r="K35" i="16"/>
  <c r="K34" i="16"/>
  <c r="G73" i="16"/>
  <c r="F73" i="16"/>
  <c r="D73" i="16"/>
  <c r="M4" i="14" l="1"/>
  <c r="K4" i="14"/>
  <c r="K4" i="17" l="1"/>
  <c r="K4" i="16"/>
  <c r="M4" i="17"/>
  <c r="M4" i="16"/>
  <c r="K34" i="14" l="1"/>
  <c r="K35" i="14"/>
  <c r="K37" i="14"/>
  <c r="K38" i="14"/>
  <c r="G39" i="14" l="1"/>
  <c r="G40" i="14" l="1"/>
  <c r="K4" i="15" l="1"/>
  <c r="M4" i="15"/>
  <c r="K4" i="2"/>
  <c r="M4" i="2"/>
  <c r="K75" i="15" l="1"/>
  <c r="L35" i="16" s="1"/>
  <c r="K74" i="15"/>
  <c r="L34" i="16" s="1"/>
  <c r="A73" i="15"/>
  <c r="B73" i="15"/>
  <c r="C73" i="15"/>
  <c r="C69" i="15"/>
  <c r="D69" i="14" s="1"/>
  <c r="C68" i="15"/>
  <c r="D68" i="14" s="1"/>
  <c r="C67" i="15"/>
  <c r="D67" i="14" s="1"/>
  <c r="C66" i="15"/>
  <c r="D66" i="14" s="1"/>
  <c r="F39" i="15"/>
  <c r="B55" i="15" s="1"/>
  <c r="C65" i="15" s="1"/>
  <c r="D65" i="14" s="1"/>
  <c r="F38" i="15"/>
  <c r="C73" i="14" l="1"/>
  <c r="C73" i="16"/>
  <c r="A73" i="14"/>
  <c r="A73" i="16"/>
  <c r="B73" i="14"/>
  <c r="B73" i="16"/>
  <c r="F37" i="15"/>
  <c r="F36" i="15" s="1"/>
  <c r="D67" i="16"/>
  <c r="D68" i="16"/>
  <c r="D65" i="16"/>
  <c r="D66" i="16"/>
  <c r="L34" i="14"/>
  <c r="L35" i="14"/>
  <c r="B54" i="15"/>
  <c r="C45" i="15" s="1"/>
  <c r="D45" i="14" s="1"/>
  <c r="C69" i="14" l="1"/>
  <c r="C45" i="14"/>
  <c r="C68" i="14"/>
  <c r="C67" i="14"/>
  <c r="C65" i="14"/>
  <c r="C70" i="15"/>
  <c r="C46" i="15" s="1"/>
  <c r="D46" i="14" s="1"/>
  <c r="C46" i="14" s="1"/>
  <c r="K75" i="2"/>
  <c r="K74" i="2"/>
  <c r="C69" i="2"/>
  <c r="C68" i="2"/>
  <c r="C67" i="2"/>
  <c r="C66" i="2"/>
  <c r="F39" i="2"/>
  <c r="B55" i="2" s="1"/>
  <c r="C65" i="2" s="1"/>
  <c r="F38" i="2"/>
  <c r="F36" i="2" l="1"/>
  <c r="F37" i="2" s="1"/>
  <c r="C47" i="15"/>
  <c r="D47" i="14" s="1"/>
  <c r="C47" i="14" s="1"/>
  <c r="B54" i="2"/>
  <c r="C45" i="2" s="1"/>
  <c r="C70" i="2" s="1"/>
  <c r="C46" i="2" s="1"/>
  <c r="C47" i="2" s="1"/>
  <c r="C48" i="2" s="1"/>
  <c r="C49" i="2" s="1"/>
  <c r="C50" i="2" s="1"/>
  <c r="C51" i="2" s="1"/>
  <c r="C52" i="2" s="1"/>
  <c r="C53" i="2" s="1"/>
  <c r="C54" i="2" s="1"/>
  <c r="C55" i="2" s="1"/>
  <c r="C56" i="2" s="1"/>
  <c r="C57" i="2" s="1"/>
  <c r="C58" i="2" s="1"/>
  <c r="C59" i="2" s="1"/>
  <c r="C60" i="2" s="1"/>
  <c r="C61" i="2" s="1"/>
  <c r="C62" i="2" s="1"/>
  <c r="C63" i="2" s="1"/>
  <c r="C64" i="2" s="1"/>
  <c r="A74" i="2"/>
  <c r="A74" i="15" s="1"/>
  <c r="A74" i="16" s="1"/>
  <c r="A74" i="17" s="1"/>
  <c r="B50" i="2" l="1"/>
  <c r="C48" i="15"/>
  <c r="D48" i="14" s="1"/>
  <c r="C48" i="14" s="1"/>
  <c r="C74" i="14"/>
  <c r="C74" i="16"/>
  <c r="C75" i="14"/>
  <c r="C75" i="16"/>
  <c r="A74" i="14"/>
  <c r="A75" i="2"/>
  <c r="A75" i="15" s="1"/>
  <c r="A75" i="16" s="1"/>
  <c r="A75" i="17" s="1"/>
  <c r="K75" i="1"/>
  <c r="K74" i="1"/>
  <c r="N6" i="16"/>
  <c r="M6" i="16"/>
  <c r="L6" i="16"/>
  <c r="K6" i="16"/>
  <c r="J6" i="16"/>
  <c r="I6" i="16"/>
  <c r="H6" i="16"/>
  <c r="G6" i="16"/>
  <c r="F6" i="16"/>
  <c r="E6" i="16"/>
  <c r="M5" i="16"/>
  <c r="K5" i="16"/>
  <c r="I5" i="16"/>
  <c r="G5" i="16"/>
  <c r="E5" i="16"/>
  <c r="H4" i="16"/>
  <c r="E4" i="16"/>
  <c r="J3" i="16"/>
  <c r="H3" i="16"/>
  <c r="E3" i="16"/>
  <c r="H2" i="16"/>
  <c r="E2" i="16"/>
  <c r="D23" i="17"/>
  <c r="B23" i="17"/>
  <c r="D22" i="17"/>
  <c r="B22" i="17"/>
  <c r="B35" i="17" l="1"/>
  <c r="B34" i="17"/>
  <c r="K78" i="17"/>
  <c r="L185" i="17"/>
  <c r="H39" i="17"/>
  <c r="H38" i="17" s="1"/>
  <c r="C22" i="17"/>
  <c r="B56" i="17" s="1"/>
  <c r="D26" i="17"/>
  <c r="C49" i="15"/>
  <c r="D49" i="14" s="1"/>
  <c r="C49" i="14" s="1"/>
  <c r="B50" i="17"/>
  <c r="C76" i="14"/>
  <c r="C76" i="16"/>
  <c r="A75" i="14"/>
  <c r="A76" i="2"/>
  <c r="A76" i="15" s="1"/>
  <c r="A76" i="16" s="1"/>
  <c r="A76" i="17" s="1"/>
  <c r="B51" i="2"/>
  <c r="D25" i="17" l="1"/>
  <c r="C50" i="15"/>
  <c r="D50" i="14" s="1"/>
  <c r="C50" i="14" s="1"/>
  <c r="B54" i="17"/>
  <c r="C45" i="17" s="1"/>
  <c r="D65" i="17"/>
  <c r="C77" i="14"/>
  <c r="C77" i="16"/>
  <c r="A76" i="14"/>
  <c r="A77" i="2"/>
  <c r="A77" i="15" s="1"/>
  <c r="A77" i="16" s="1"/>
  <c r="A77" i="17" s="1"/>
  <c r="B46" i="2"/>
  <c r="C22" i="2" s="1"/>
  <c r="E46" i="2"/>
  <c r="E47" i="2"/>
  <c r="E45" i="2"/>
  <c r="K77" i="2"/>
  <c r="K78" i="2"/>
  <c r="B34" i="2"/>
  <c r="B36" i="2"/>
  <c r="B35" i="2"/>
  <c r="D63" i="2"/>
  <c r="E54" i="2"/>
  <c r="D61" i="2"/>
  <c r="E48" i="2"/>
  <c r="D48" i="2"/>
  <c r="D47" i="2"/>
  <c r="E51" i="2"/>
  <c r="E61" i="2"/>
  <c r="D60" i="2"/>
  <c r="E56" i="2"/>
  <c r="D52" i="2"/>
  <c r="D59" i="2"/>
  <c r="E62" i="2"/>
  <c r="D57" i="2"/>
  <c r="E59" i="2"/>
  <c r="D56" i="2"/>
  <c r="E53" i="2"/>
  <c r="E60" i="2"/>
  <c r="D50" i="2"/>
  <c r="D51" i="2"/>
  <c r="D65" i="2"/>
  <c r="E50" i="2"/>
  <c r="E58" i="2"/>
  <c r="D64" i="2"/>
  <c r="E52" i="2"/>
  <c r="D49" i="2"/>
  <c r="E64" i="2"/>
  <c r="B56" i="2"/>
  <c r="D54" i="2"/>
  <c r="D62" i="2"/>
  <c r="E63" i="2"/>
  <c r="D58" i="2"/>
  <c r="D46" i="2"/>
  <c r="D53" i="2"/>
  <c r="E49" i="2"/>
  <c r="D55" i="2"/>
  <c r="E55" i="2"/>
  <c r="E65" i="2"/>
  <c r="E57" i="2"/>
  <c r="D45" i="2"/>
  <c r="D23" i="16"/>
  <c r="B23" i="16"/>
  <c r="D22" i="16"/>
  <c r="D22" i="14"/>
  <c r="B22" i="16"/>
  <c r="B22" i="14"/>
  <c r="N6" i="14"/>
  <c r="M6" i="14"/>
  <c r="L6" i="14"/>
  <c r="K6" i="14"/>
  <c r="J6" i="14"/>
  <c r="I6" i="14"/>
  <c r="H6" i="14"/>
  <c r="G6" i="14"/>
  <c r="F6" i="14"/>
  <c r="M5" i="14"/>
  <c r="K5" i="14"/>
  <c r="I5" i="14"/>
  <c r="G5" i="14"/>
  <c r="E5" i="14"/>
  <c r="H4" i="14"/>
  <c r="E4" i="14"/>
  <c r="J3" i="14"/>
  <c r="H3" i="14"/>
  <c r="E3" i="14"/>
  <c r="H2" i="14"/>
  <c r="E2" i="14"/>
  <c r="A2" i="14"/>
  <c r="A2" i="16" s="1"/>
  <c r="A1" i="14"/>
  <c r="A1" i="16" s="1"/>
  <c r="A24" i="14"/>
  <c r="A24" i="17" s="1"/>
  <c r="A23" i="14"/>
  <c r="A23" i="17" s="1"/>
  <c r="D23" i="15"/>
  <c r="C51" i="15" l="1"/>
  <c r="D51" i="14" s="1"/>
  <c r="C51" i="14" s="1"/>
  <c r="D45" i="17"/>
  <c r="C70" i="17"/>
  <c r="C46" i="17" s="1"/>
  <c r="C78" i="14"/>
  <c r="C78" i="16"/>
  <c r="A77" i="14"/>
  <c r="A78" i="2"/>
  <c r="A78" i="15" s="1"/>
  <c r="A78" i="16" s="1"/>
  <c r="A78" i="17" s="1"/>
  <c r="B57" i="2"/>
  <c r="B57" i="15" s="1"/>
  <c r="G36" i="14"/>
  <c r="B50" i="14" s="1"/>
  <c r="B41" i="2"/>
  <c r="D26" i="2" s="1"/>
  <c r="D25" i="2"/>
  <c r="A23" i="16"/>
  <c r="A24" i="16"/>
  <c r="D23" i="1"/>
  <c r="B23" i="1"/>
  <c r="C52" i="15" l="1"/>
  <c r="D52" i="14" s="1"/>
  <c r="C52" i="14" s="1"/>
  <c r="C47" i="17"/>
  <c r="D46" i="17"/>
  <c r="C79" i="14"/>
  <c r="C79" i="16"/>
  <c r="A78" i="14"/>
  <c r="F52" i="2"/>
  <c r="F50" i="2"/>
  <c r="A79" i="2"/>
  <c r="A79" i="15" s="1"/>
  <c r="A79" i="16" s="1"/>
  <c r="A79" i="17" s="1"/>
  <c r="F65" i="2"/>
  <c r="F46" i="2"/>
  <c r="F58" i="2"/>
  <c r="F49" i="2"/>
  <c r="F56" i="2"/>
  <c r="F64" i="2"/>
  <c r="F48" i="2"/>
  <c r="F51" i="2"/>
  <c r="F59" i="2"/>
  <c r="F47" i="2"/>
  <c r="F53" i="2"/>
  <c r="F45" i="2"/>
  <c r="F57" i="2"/>
  <c r="F55" i="2"/>
  <c r="F60" i="2"/>
  <c r="F63" i="2"/>
  <c r="F54" i="2"/>
  <c r="F62" i="2"/>
  <c r="F61" i="2"/>
  <c r="N6" i="15"/>
  <c r="M6" i="15"/>
  <c r="L6" i="15"/>
  <c r="K6" i="15"/>
  <c r="J6" i="15"/>
  <c r="I6" i="15"/>
  <c r="H6" i="15"/>
  <c r="G6" i="15"/>
  <c r="F6" i="15"/>
  <c r="E6" i="15"/>
  <c r="M5" i="15"/>
  <c r="K5" i="15"/>
  <c r="I5" i="15"/>
  <c r="G5" i="15"/>
  <c r="E5" i="15"/>
  <c r="H4" i="15"/>
  <c r="E4" i="15"/>
  <c r="J3" i="15"/>
  <c r="H3" i="15"/>
  <c r="E3" i="15"/>
  <c r="H2" i="15"/>
  <c r="C53" i="15" l="1"/>
  <c r="D53" i="14" s="1"/>
  <c r="C53" i="14" s="1"/>
  <c r="C48" i="17"/>
  <c r="D47" i="17"/>
  <c r="C80" i="14"/>
  <c r="C80" i="16"/>
  <c r="A79" i="14"/>
  <c r="A80" i="2"/>
  <c r="A80" i="15" s="1"/>
  <c r="A80" i="16" s="1"/>
  <c r="A80" i="17" s="1"/>
  <c r="E2" i="2"/>
  <c r="H2" i="2"/>
  <c r="E3" i="2"/>
  <c r="H3" i="2"/>
  <c r="J3" i="2"/>
  <c r="E4" i="2"/>
  <c r="H4" i="2"/>
  <c r="E5" i="2"/>
  <c r="G5" i="2"/>
  <c r="I5" i="2"/>
  <c r="K5" i="2"/>
  <c r="M5" i="2"/>
  <c r="E6" i="2"/>
  <c r="F6" i="2"/>
  <c r="G6" i="2"/>
  <c r="H6" i="2"/>
  <c r="I6" i="2"/>
  <c r="J6" i="2"/>
  <c r="K6" i="2"/>
  <c r="L6" i="2"/>
  <c r="M6" i="2"/>
  <c r="N6" i="2"/>
  <c r="D73" i="14"/>
  <c r="F73" i="14"/>
  <c r="G73" i="14"/>
  <c r="C54" i="15" l="1"/>
  <c r="D54" i="14" s="1"/>
  <c r="C54" i="14" s="1"/>
  <c r="C49" i="17"/>
  <c r="D48" i="17"/>
  <c r="A81" i="2"/>
  <c r="A81" i="15" s="1"/>
  <c r="A81" i="16" s="1"/>
  <c r="A81" i="17" s="1"/>
  <c r="C81" i="14"/>
  <c r="C81" i="16"/>
  <c r="A80" i="14"/>
  <c r="D23" i="2"/>
  <c r="B23" i="2"/>
  <c r="C66" i="1"/>
  <c r="C67" i="1"/>
  <c r="C55" i="15" l="1"/>
  <c r="D55" i="14" s="1"/>
  <c r="C55" i="14" s="1"/>
  <c r="C50" i="17"/>
  <c r="D49" i="17"/>
  <c r="A81" i="14"/>
  <c r="C83" i="16"/>
  <c r="C82" i="14"/>
  <c r="C82" i="16"/>
  <c r="A82" i="2"/>
  <c r="A82" i="15" s="1"/>
  <c r="A82" i="16" s="1"/>
  <c r="A82" i="17" s="1"/>
  <c r="A74" i="1"/>
  <c r="C56" i="15" l="1"/>
  <c r="D56" i="14" s="1"/>
  <c r="C51" i="17"/>
  <c r="D50" i="17"/>
  <c r="A83" i="2"/>
  <c r="A83" i="15" s="1"/>
  <c r="A83" i="16" s="1"/>
  <c r="A83" i="17" s="1"/>
  <c r="C84" i="16"/>
  <c r="C83" i="14"/>
  <c r="A82" i="14"/>
  <c r="A75" i="1"/>
  <c r="C56" i="14" l="1"/>
  <c r="G37" i="14" s="1"/>
  <c r="B51" i="14" s="1"/>
  <c r="C57" i="15"/>
  <c r="C52" i="17"/>
  <c r="D51" i="17"/>
  <c r="C84" i="14"/>
  <c r="A84" i="2"/>
  <c r="A84" i="15" s="1"/>
  <c r="A84" i="16" s="1"/>
  <c r="A84" i="17" s="1"/>
  <c r="C85" i="16"/>
  <c r="A83" i="14"/>
  <c r="A76" i="1"/>
  <c r="B34" i="14" l="1"/>
  <c r="E46" i="14"/>
  <c r="E45" i="14"/>
  <c r="F47" i="14"/>
  <c r="E50" i="14"/>
  <c r="E55" i="14"/>
  <c r="E48" i="14"/>
  <c r="E47" i="14"/>
  <c r="E52" i="14"/>
  <c r="E53" i="14"/>
  <c r="E49" i="14"/>
  <c r="E65" i="14"/>
  <c r="E54" i="14"/>
  <c r="E51" i="14"/>
  <c r="E56" i="14"/>
  <c r="F54" i="14"/>
  <c r="F65" i="14"/>
  <c r="F51" i="14"/>
  <c r="L38" i="14"/>
  <c r="F52" i="14"/>
  <c r="F48" i="14"/>
  <c r="F53" i="14"/>
  <c r="B56" i="14"/>
  <c r="B57" i="14" s="1"/>
  <c r="L37" i="14"/>
  <c r="F50" i="14"/>
  <c r="F46" i="14"/>
  <c r="F56" i="14"/>
  <c r="F49" i="14"/>
  <c r="B46" i="14"/>
  <c r="C23" i="14" s="1"/>
  <c r="F55" i="14"/>
  <c r="D57" i="14"/>
  <c r="C57" i="14" s="1"/>
  <c r="C58" i="15"/>
  <c r="A85" i="2"/>
  <c r="A85" i="15" s="1"/>
  <c r="A85" i="16" s="1"/>
  <c r="A85" i="17" s="1"/>
  <c r="C53" i="17"/>
  <c r="D52" i="17"/>
  <c r="C86" i="16"/>
  <c r="H86" i="16" s="1"/>
  <c r="C85" i="14"/>
  <c r="A84" i="14"/>
  <c r="A77" i="1"/>
  <c r="C22" i="14" l="1"/>
  <c r="D23" i="14"/>
  <c r="B36" i="14" s="1"/>
  <c r="B23" i="14"/>
  <c r="B35" i="14" s="1"/>
  <c r="A86" i="2"/>
  <c r="A86" i="15" s="1"/>
  <c r="A86" i="16" s="1"/>
  <c r="A86" i="17" s="1"/>
  <c r="C87" i="14"/>
  <c r="G51" i="14"/>
  <c r="G55" i="14"/>
  <c r="G52" i="14"/>
  <c r="G46" i="14"/>
  <c r="G53" i="14"/>
  <c r="G49" i="14"/>
  <c r="G48" i="14"/>
  <c r="G47" i="14"/>
  <c r="G50" i="14"/>
  <c r="G54" i="14"/>
  <c r="G56" i="14"/>
  <c r="G65" i="14"/>
  <c r="D58" i="14"/>
  <c r="C58" i="14" s="1"/>
  <c r="C59" i="15"/>
  <c r="C86" i="14"/>
  <c r="H86" i="14" s="1"/>
  <c r="A85" i="14"/>
  <c r="C54" i="17"/>
  <c r="D53" i="17"/>
  <c r="A78" i="1"/>
  <c r="C88" i="16" l="1"/>
  <c r="C87" i="16"/>
  <c r="D25" i="14"/>
  <c r="A87" i="2"/>
  <c r="A87" i="15" s="1"/>
  <c r="A87" i="16" s="1"/>
  <c r="A87" i="17" s="1"/>
  <c r="B41" i="14"/>
  <c r="D26" i="14" s="1"/>
  <c r="A86" i="14"/>
  <c r="F58" i="14"/>
  <c r="G58" i="14" s="1"/>
  <c r="E58" i="14"/>
  <c r="F57" i="14"/>
  <c r="G57" i="14" s="1"/>
  <c r="E57" i="14"/>
  <c r="D59" i="14"/>
  <c r="C59" i="14" s="1"/>
  <c r="C60" i="15"/>
  <c r="C55" i="17"/>
  <c r="D54" i="17"/>
  <c r="A79" i="1"/>
  <c r="C88" i="14" l="1"/>
  <c r="A88" i="2"/>
  <c r="A88" i="15" s="1"/>
  <c r="A88" i="16" s="1"/>
  <c r="A88" i="17" s="1"/>
  <c r="C89" i="14"/>
  <c r="A87" i="14"/>
  <c r="F59" i="14"/>
  <c r="G59" i="14" s="1"/>
  <c r="E59" i="14"/>
  <c r="D60" i="14"/>
  <c r="C60" i="14" s="1"/>
  <c r="C61" i="15"/>
  <c r="C56" i="17"/>
  <c r="D55" i="17"/>
  <c r="A80" i="1"/>
  <c r="C90" i="14" l="1"/>
  <c r="A89" i="2"/>
  <c r="A89" i="15" s="1"/>
  <c r="A89" i="16" s="1"/>
  <c r="A89" i="17" s="1"/>
  <c r="C89" i="16"/>
  <c r="A88" i="14"/>
  <c r="F60" i="14"/>
  <c r="G60" i="14" s="1"/>
  <c r="E60" i="14"/>
  <c r="D61" i="14"/>
  <c r="C61" i="14" s="1"/>
  <c r="C62" i="15"/>
  <c r="C57" i="17"/>
  <c r="D56" i="17"/>
  <c r="A81" i="1"/>
  <c r="A90" i="2" l="1"/>
  <c r="A90" i="15" s="1"/>
  <c r="A90" i="16" s="1"/>
  <c r="A90" i="17" s="1"/>
  <c r="C91" i="14"/>
  <c r="H91" i="14" s="1"/>
  <c r="C90" i="16"/>
  <c r="A89" i="14"/>
  <c r="F61" i="14"/>
  <c r="G61" i="14" s="1"/>
  <c r="E61" i="14"/>
  <c r="D62" i="14"/>
  <c r="C62" i="14" s="1"/>
  <c r="C63" i="15"/>
  <c r="C58" i="17"/>
  <c r="D57" i="17"/>
  <c r="A82" i="1"/>
  <c r="A91" i="2" l="1"/>
  <c r="A91" i="15" s="1"/>
  <c r="A91" i="16" s="1"/>
  <c r="A91" i="17" s="1"/>
  <c r="C92" i="14"/>
  <c r="A90" i="14"/>
  <c r="C91" i="16"/>
  <c r="H91" i="16" s="1"/>
  <c r="F62" i="14"/>
  <c r="G62" i="14" s="1"/>
  <c r="E62" i="14"/>
  <c r="D63" i="14"/>
  <c r="C63" i="14" s="1"/>
  <c r="E63" i="14" s="1"/>
  <c r="C64" i="15"/>
  <c r="D64" i="14" s="1"/>
  <c r="C59" i="17"/>
  <c r="D58" i="17"/>
  <c r="A83" i="1"/>
  <c r="A92" i="2" l="1"/>
  <c r="A92" i="15" s="1"/>
  <c r="A92" i="16" s="1"/>
  <c r="A92" i="17" s="1"/>
  <c r="C93" i="16"/>
  <c r="A91" i="14"/>
  <c r="C92" i="16"/>
  <c r="C64" i="14"/>
  <c r="E64" i="14" s="1"/>
  <c r="F63" i="14"/>
  <c r="G63" i="14" s="1"/>
  <c r="C60" i="17"/>
  <c r="D59" i="17"/>
  <c r="A84" i="1"/>
  <c r="C93" i="14" l="1"/>
  <c r="A93" i="2"/>
  <c r="A93" i="15" s="1"/>
  <c r="A93" i="16" s="1"/>
  <c r="A93" i="17" s="1"/>
  <c r="C94" i="14"/>
  <c r="A92" i="14"/>
  <c r="F64" i="14"/>
  <c r="G64" i="14" s="1"/>
  <c r="C61" i="17"/>
  <c r="D60" i="17"/>
  <c r="A85" i="1"/>
  <c r="C95" i="14" l="1"/>
  <c r="A94" i="2"/>
  <c r="A94" i="15" s="1"/>
  <c r="A94" i="16" s="1"/>
  <c r="A94" i="17" s="1"/>
  <c r="C94" i="16"/>
  <c r="A93" i="14"/>
  <c r="C62" i="17"/>
  <c r="D61" i="17"/>
  <c r="A86" i="1"/>
  <c r="C95" i="16" l="1"/>
  <c r="C96" i="16"/>
  <c r="H96" i="16" s="1"/>
  <c r="A95" i="2"/>
  <c r="A95" i="15" s="1"/>
  <c r="A95" i="16" s="1"/>
  <c r="A95" i="17" s="1"/>
  <c r="A94" i="14"/>
  <c r="C63" i="17"/>
  <c r="D62" i="17"/>
  <c r="A87" i="1"/>
  <c r="C96" i="14" l="1"/>
  <c r="H96" i="14" s="1"/>
  <c r="A96" i="2"/>
  <c r="A96" i="15" s="1"/>
  <c r="A96" i="16" s="1"/>
  <c r="A96" i="17" s="1"/>
  <c r="A95" i="14"/>
  <c r="C64" i="17"/>
  <c r="D64" i="17" s="1"/>
  <c r="D63" i="17"/>
  <c r="C97" i="14"/>
  <c r="C97" i="16"/>
  <c r="A97" i="2"/>
  <c r="A97" i="15" s="1"/>
  <c r="A97" i="16" s="1"/>
  <c r="A97" i="17" s="1"/>
  <c r="A88" i="1"/>
  <c r="A96" i="14" l="1"/>
  <c r="C98" i="14"/>
  <c r="C98" i="16"/>
  <c r="A97" i="14"/>
  <c r="A98" i="2"/>
  <c r="A98" i="15" s="1"/>
  <c r="A98" i="16" s="1"/>
  <c r="A98" i="17" s="1"/>
  <c r="A89" i="1"/>
  <c r="C99" i="14" l="1"/>
  <c r="C99" i="16"/>
  <c r="A98" i="14"/>
  <c r="A99" i="2"/>
  <c r="A99" i="15" s="1"/>
  <c r="A99" i="16" s="1"/>
  <c r="A99" i="17" s="1"/>
  <c r="A90" i="1"/>
  <c r="C100" i="14" l="1"/>
  <c r="C100" i="16"/>
  <c r="A99" i="14"/>
  <c r="A100" i="2"/>
  <c r="A100" i="15" s="1"/>
  <c r="A100" i="16" s="1"/>
  <c r="A100" i="17" s="1"/>
  <c r="A91" i="1"/>
  <c r="C101" i="14" l="1"/>
  <c r="C101" i="16"/>
  <c r="A100" i="14"/>
  <c r="A101" i="2"/>
  <c r="A101" i="15" s="1"/>
  <c r="A101" i="16" s="1"/>
  <c r="A101" i="17" s="1"/>
  <c r="C102" i="16"/>
  <c r="A92" i="1"/>
  <c r="C102" i="14" l="1"/>
  <c r="A101" i="14"/>
  <c r="A102" i="2"/>
  <c r="A102" i="15" s="1"/>
  <c r="A102" i="16" s="1"/>
  <c r="A102" i="17" s="1"/>
  <c r="A93" i="1"/>
  <c r="C103" i="14" l="1"/>
  <c r="C103" i="16"/>
  <c r="A102" i="14"/>
  <c r="A103" i="2"/>
  <c r="A103" i="15" s="1"/>
  <c r="A103" i="16" s="1"/>
  <c r="A103" i="17" s="1"/>
  <c r="A94" i="1"/>
  <c r="C104" i="14" l="1"/>
  <c r="C104" i="16"/>
  <c r="A103" i="14"/>
  <c r="A104" i="2"/>
  <c r="A104" i="15" s="1"/>
  <c r="A104" i="16" s="1"/>
  <c r="A104" i="17" s="1"/>
  <c r="A95" i="1"/>
  <c r="C105" i="14" l="1"/>
  <c r="H105" i="14" s="1"/>
  <c r="C105" i="16"/>
  <c r="H105" i="16" s="1"/>
  <c r="A104" i="14"/>
  <c r="A105" i="2"/>
  <c r="A105" i="15" s="1"/>
  <c r="A105" i="16" s="1"/>
  <c r="A105" i="17" s="1"/>
  <c r="A96" i="1"/>
  <c r="C106" i="14" l="1"/>
  <c r="C106" i="16"/>
  <c r="A105" i="14"/>
  <c r="A106" i="2"/>
  <c r="A106" i="15" s="1"/>
  <c r="A106" i="16" s="1"/>
  <c r="A106" i="17" s="1"/>
  <c r="A97" i="1"/>
  <c r="C107" i="14" l="1"/>
  <c r="C107" i="16"/>
  <c r="A106" i="14"/>
  <c r="A107" i="2"/>
  <c r="A107" i="15" s="1"/>
  <c r="A107" i="16" s="1"/>
  <c r="A107" i="17" s="1"/>
  <c r="A98" i="1"/>
  <c r="C108" i="14" l="1"/>
  <c r="C108" i="16"/>
  <c r="A107" i="14"/>
  <c r="A108" i="2"/>
  <c r="A108" i="15" s="1"/>
  <c r="A108" i="16" s="1"/>
  <c r="A108" i="17" s="1"/>
  <c r="A99" i="1"/>
  <c r="C109" i="14" l="1"/>
  <c r="C109" i="16"/>
  <c r="A108" i="14"/>
  <c r="A109" i="2"/>
  <c r="A109" i="15" s="1"/>
  <c r="A109" i="16" s="1"/>
  <c r="A109" i="17" s="1"/>
  <c r="A100" i="1"/>
  <c r="C110" i="14" l="1"/>
  <c r="C110" i="16"/>
  <c r="A109" i="14"/>
  <c r="A110" i="2"/>
  <c r="A110" i="15" s="1"/>
  <c r="A110" i="16" s="1"/>
  <c r="A110" i="17" s="1"/>
  <c r="A101" i="1"/>
  <c r="C111" i="14" l="1"/>
  <c r="C111" i="16"/>
  <c r="A110" i="14"/>
  <c r="A111" i="2"/>
  <c r="A111" i="15" s="1"/>
  <c r="A111" i="16" s="1"/>
  <c r="A111" i="17" s="1"/>
  <c r="A102" i="1"/>
  <c r="C112" i="14" l="1"/>
  <c r="C112" i="16"/>
  <c r="A111" i="14"/>
  <c r="A112" i="2"/>
  <c r="A112" i="15" s="1"/>
  <c r="A112" i="16" s="1"/>
  <c r="A112" i="17" s="1"/>
  <c r="A103" i="1"/>
  <c r="C113" i="14" l="1"/>
  <c r="C113" i="16"/>
  <c r="A112" i="14"/>
  <c r="A113" i="2"/>
  <c r="A113" i="15" s="1"/>
  <c r="A113" i="16" s="1"/>
  <c r="A113" i="17" s="1"/>
  <c r="A104" i="1"/>
  <c r="C114" i="14" l="1"/>
  <c r="C114" i="16"/>
  <c r="A113" i="14"/>
  <c r="A114" i="2"/>
  <c r="A114" i="15" s="1"/>
  <c r="A114" i="16" s="1"/>
  <c r="A114" i="17" s="1"/>
  <c r="A105" i="1"/>
  <c r="C115" i="14" l="1"/>
  <c r="C115" i="16"/>
  <c r="A114" i="14"/>
  <c r="A115" i="2"/>
  <c r="A115" i="15" s="1"/>
  <c r="A115" i="16" s="1"/>
  <c r="A115" i="17" s="1"/>
  <c r="A106" i="1"/>
  <c r="C116" i="14" l="1"/>
  <c r="C116" i="16"/>
  <c r="A115" i="14"/>
  <c r="A116" i="2"/>
  <c r="A116" i="15" s="1"/>
  <c r="A116" i="16" s="1"/>
  <c r="A116" i="17" s="1"/>
  <c r="A107" i="1"/>
  <c r="C117" i="14" l="1"/>
  <c r="C117" i="16"/>
  <c r="A116" i="14"/>
  <c r="A117" i="2"/>
  <c r="A117" i="15" s="1"/>
  <c r="A117" i="16" s="1"/>
  <c r="A117" i="17" s="1"/>
  <c r="A108" i="1"/>
  <c r="C118" i="14" l="1"/>
  <c r="C118" i="16"/>
  <c r="A117" i="14"/>
  <c r="A118" i="2"/>
  <c r="A118" i="15" s="1"/>
  <c r="A118" i="16" s="1"/>
  <c r="A118" i="17" s="1"/>
  <c r="A109" i="1"/>
  <c r="C119" i="14" l="1"/>
  <c r="C119" i="16"/>
  <c r="A118" i="14"/>
  <c r="A119" i="2"/>
  <c r="A119" i="15" s="1"/>
  <c r="A119" i="16" s="1"/>
  <c r="A119" i="17" s="1"/>
  <c r="A110" i="1"/>
  <c r="C120" i="14" l="1"/>
  <c r="C120" i="16"/>
  <c r="A119" i="14"/>
  <c r="A120" i="2"/>
  <c r="A120" i="15" s="1"/>
  <c r="A120" i="16" s="1"/>
  <c r="A120" i="17" s="1"/>
  <c r="A111" i="1"/>
  <c r="C121" i="14" l="1"/>
  <c r="C121" i="16"/>
  <c r="A120" i="14"/>
  <c r="A121" i="2"/>
  <c r="A121" i="15" s="1"/>
  <c r="A121" i="16" s="1"/>
  <c r="A121" i="17" s="1"/>
  <c r="A112" i="1"/>
  <c r="C122" i="14" l="1"/>
  <c r="C122" i="16"/>
  <c r="A121" i="14"/>
  <c r="A122" i="2"/>
  <c r="A122" i="15" s="1"/>
  <c r="A122" i="16" s="1"/>
  <c r="A122" i="17" s="1"/>
  <c r="A113" i="1"/>
  <c r="C123" i="14" l="1"/>
  <c r="C123" i="16"/>
  <c r="A122" i="14"/>
  <c r="A123" i="2"/>
  <c r="A123" i="15" s="1"/>
  <c r="A123" i="16" s="1"/>
  <c r="A123" i="17" s="1"/>
  <c r="A114" i="1"/>
  <c r="C124" i="14" l="1"/>
  <c r="C124" i="16"/>
  <c r="A123" i="14"/>
  <c r="A124" i="2"/>
  <c r="A124" i="15" s="1"/>
  <c r="A124" i="16" s="1"/>
  <c r="A124" i="17" s="1"/>
  <c r="A115" i="1"/>
  <c r="C125" i="14" l="1"/>
  <c r="C125" i="16"/>
  <c r="A124" i="14"/>
  <c r="A125" i="2"/>
  <c r="A125" i="15" s="1"/>
  <c r="A125" i="16" s="1"/>
  <c r="A125" i="17" s="1"/>
  <c r="A116" i="1"/>
  <c r="C126" i="14" l="1"/>
  <c r="C126" i="16"/>
  <c r="A125" i="14"/>
  <c r="A126" i="2"/>
  <c r="A126" i="15" s="1"/>
  <c r="A126" i="16" s="1"/>
  <c r="A126" i="17" s="1"/>
  <c r="A117" i="1"/>
  <c r="C127" i="14" l="1"/>
  <c r="C127" i="16"/>
  <c r="A126" i="14"/>
  <c r="A127" i="2"/>
  <c r="A127" i="15" s="1"/>
  <c r="A127" i="16" s="1"/>
  <c r="A127" i="17" s="1"/>
  <c r="A118" i="1"/>
  <c r="C128" i="14" l="1"/>
  <c r="C128" i="16"/>
  <c r="A127" i="14"/>
  <c r="A128" i="2"/>
  <c r="A128" i="15" s="1"/>
  <c r="A128" i="16" s="1"/>
  <c r="A128" i="17" s="1"/>
  <c r="A119" i="1"/>
  <c r="C129" i="14" l="1"/>
  <c r="C129" i="16"/>
  <c r="A128" i="14"/>
  <c r="A129" i="2"/>
  <c r="A129" i="15" s="1"/>
  <c r="A129" i="16" s="1"/>
  <c r="A129" i="17" s="1"/>
  <c r="A120" i="1"/>
  <c r="C130" i="14" l="1"/>
  <c r="C130" i="16"/>
  <c r="A129" i="14"/>
  <c r="A130" i="2"/>
  <c r="A130" i="15" s="1"/>
  <c r="A130" i="16" s="1"/>
  <c r="A130" i="17" s="1"/>
  <c r="A121" i="1"/>
  <c r="C131" i="14" l="1"/>
  <c r="C131" i="16"/>
  <c r="A130" i="14"/>
  <c r="A131" i="2"/>
  <c r="A131" i="15" s="1"/>
  <c r="A131" i="16" s="1"/>
  <c r="A131" i="17" s="1"/>
  <c r="A122" i="1"/>
  <c r="C132" i="14" l="1"/>
  <c r="C132" i="16"/>
  <c r="A131" i="14"/>
  <c r="A132" i="2"/>
  <c r="A132" i="15" s="1"/>
  <c r="A132" i="16" s="1"/>
  <c r="A132" i="17" s="1"/>
  <c r="A123" i="1"/>
  <c r="C133" i="14" l="1"/>
  <c r="C133" i="16"/>
  <c r="A132" i="14"/>
  <c r="A133" i="2"/>
  <c r="A133" i="15" s="1"/>
  <c r="A133" i="16" s="1"/>
  <c r="A133" i="17" s="1"/>
  <c r="A124" i="1"/>
  <c r="C134" i="14" l="1"/>
  <c r="C134" i="16"/>
  <c r="A133" i="14"/>
  <c r="A134" i="2"/>
  <c r="A134" i="15" s="1"/>
  <c r="A134" i="16" s="1"/>
  <c r="A134" i="17" s="1"/>
  <c r="A125" i="1"/>
  <c r="C135" i="14" l="1"/>
  <c r="C135" i="16"/>
  <c r="A134" i="14"/>
  <c r="A135" i="2"/>
  <c r="A135" i="15" s="1"/>
  <c r="A135" i="16" s="1"/>
  <c r="A135" i="17" s="1"/>
  <c r="A126" i="1"/>
  <c r="C136" i="14" l="1"/>
  <c r="C136" i="16"/>
  <c r="A135" i="14"/>
  <c r="A136" i="2"/>
  <c r="A136" i="15" s="1"/>
  <c r="A136" i="16" s="1"/>
  <c r="A136" i="17" s="1"/>
  <c r="A127" i="1"/>
  <c r="C137" i="14" l="1"/>
  <c r="C137" i="16"/>
  <c r="A136" i="14"/>
  <c r="A137" i="2"/>
  <c r="A137" i="15" s="1"/>
  <c r="A137" i="16" s="1"/>
  <c r="A137" i="17" s="1"/>
  <c r="A128" i="1"/>
  <c r="C138" i="14" l="1"/>
  <c r="C138" i="16"/>
  <c r="A137" i="14"/>
  <c r="A138" i="2"/>
  <c r="A138" i="15" s="1"/>
  <c r="A138" i="16" s="1"/>
  <c r="A138" i="17" s="1"/>
  <c r="A129" i="1"/>
  <c r="C139" i="14" l="1"/>
  <c r="H139" i="14" s="1"/>
  <c r="C139" i="16"/>
  <c r="H139" i="16" s="1"/>
  <c r="A138" i="14"/>
  <c r="A139" i="2"/>
  <c r="A139" i="15" s="1"/>
  <c r="A139" i="16" s="1"/>
  <c r="A139" i="17" s="1"/>
  <c r="A130" i="1"/>
  <c r="C140" i="14" l="1"/>
  <c r="C140" i="16"/>
  <c r="A139" i="14"/>
  <c r="A140" i="2"/>
  <c r="A140" i="15" s="1"/>
  <c r="A140" i="16" s="1"/>
  <c r="A140" i="17" s="1"/>
  <c r="A131" i="1"/>
  <c r="C141" i="14" l="1"/>
  <c r="C141" i="16"/>
  <c r="A140" i="14"/>
  <c r="A141" i="2"/>
  <c r="A141" i="15" s="1"/>
  <c r="A141" i="16" s="1"/>
  <c r="A141" i="17" s="1"/>
  <c r="A132" i="1"/>
  <c r="C142" i="14" l="1"/>
  <c r="C142" i="16"/>
  <c r="A141" i="14"/>
  <c r="A142" i="2"/>
  <c r="A142" i="15" s="1"/>
  <c r="A142" i="16" s="1"/>
  <c r="A142" i="17" s="1"/>
  <c r="A133" i="1"/>
  <c r="C143" i="14" l="1"/>
  <c r="C143" i="16"/>
  <c r="A142" i="14"/>
  <c r="A143" i="2"/>
  <c r="A143" i="15" s="1"/>
  <c r="A143" i="16" s="1"/>
  <c r="A143" i="17" s="1"/>
  <c r="A134" i="1"/>
  <c r="C144" i="14" l="1"/>
  <c r="C144" i="16"/>
  <c r="A143" i="14"/>
  <c r="A144" i="2"/>
  <c r="A144" i="15" s="1"/>
  <c r="A144" i="16" s="1"/>
  <c r="A144" i="17" s="1"/>
  <c r="A135" i="1"/>
  <c r="C145" i="14" l="1"/>
  <c r="C145" i="16"/>
  <c r="A144" i="14"/>
  <c r="A145" i="2"/>
  <c r="A145" i="15" s="1"/>
  <c r="A145" i="16" s="1"/>
  <c r="A145" i="17" s="1"/>
  <c r="A136" i="1"/>
  <c r="C146" i="14" l="1"/>
  <c r="C146" i="16"/>
  <c r="A145" i="14"/>
  <c r="A146" i="2"/>
  <c r="A146" i="15" s="1"/>
  <c r="A146" i="16" s="1"/>
  <c r="A146" i="17" s="1"/>
  <c r="A137" i="1"/>
  <c r="C147" i="14" l="1"/>
  <c r="C147" i="16"/>
  <c r="A146" i="14"/>
  <c r="A147" i="2"/>
  <c r="A147" i="15" s="1"/>
  <c r="A147" i="16" s="1"/>
  <c r="A147" i="17" s="1"/>
  <c r="A138" i="1"/>
  <c r="C148" i="14" l="1"/>
  <c r="C148" i="16"/>
  <c r="A147" i="14"/>
  <c r="A148" i="2"/>
  <c r="A148" i="15" s="1"/>
  <c r="A148" i="16" s="1"/>
  <c r="A148" i="17" s="1"/>
  <c r="A139" i="1"/>
  <c r="C149" i="14" l="1"/>
  <c r="C149" i="16"/>
  <c r="A148" i="14"/>
  <c r="A149" i="2"/>
  <c r="A149" i="15" s="1"/>
  <c r="A149" i="16" s="1"/>
  <c r="A149" i="17" s="1"/>
  <c r="A140" i="1"/>
  <c r="C150" i="14" l="1"/>
  <c r="C150" i="16"/>
  <c r="A149" i="14"/>
  <c r="A150" i="2"/>
  <c r="A150" i="15" s="1"/>
  <c r="A150" i="16" s="1"/>
  <c r="A150" i="17" s="1"/>
  <c r="A141" i="1"/>
  <c r="C151" i="14" l="1"/>
  <c r="C151" i="16"/>
  <c r="A150" i="14"/>
  <c r="A151" i="2"/>
  <c r="A151" i="15" s="1"/>
  <c r="A151" i="16" s="1"/>
  <c r="A151" i="17" s="1"/>
  <c r="A142" i="1"/>
  <c r="C152" i="14" l="1"/>
  <c r="C152" i="16"/>
  <c r="A151" i="14"/>
  <c r="A152" i="2"/>
  <c r="A152" i="15" s="1"/>
  <c r="A152" i="16" s="1"/>
  <c r="A152" i="17" s="1"/>
  <c r="A143" i="1"/>
  <c r="C153" i="14" l="1"/>
  <c r="C153" i="16"/>
  <c r="A152" i="14"/>
  <c r="A153" i="2"/>
  <c r="A153" i="15" s="1"/>
  <c r="A153" i="16" s="1"/>
  <c r="A153" i="17" s="1"/>
  <c r="A144" i="1"/>
  <c r="C154" i="14" l="1"/>
  <c r="C154" i="16"/>
  <c r="A153" i="14"/>
  <c r="A154" i="2"/>
  <c r="A154" i="15" s="1"/>
  <c r="A154" i="16" s="1"/>
  <c r="A154" i="17" s="1"/>
  <c r="A145" i="1"/>
  <c r="C155" i="14" l="1"/>
  <c r="C155" i="16"/>
  <c r="A154" i="14"/>
  <c r="A155" i="2"/>
  <c r="A155" i="15" s="1"/>
  <c r="A155" i="16" s="1"/>
  <c r="A155" i="17" s="1"/>
  <c r="A146" i="1"/>
  <c r="C156" i="14" l="1"/>
  <c r="C156" i="16"/>
  <c r="A155" i="14"/>
  <c r="A156" i="2"/>
  <c r="A156" i="15" s="1"/>
  <c r="A156" i="16" s="1"/>
  <c r="A156" i="17" s="1"/>
  <c r="A147" i="1"/>
  <c r="I4" i="1"/>
  <c r="I4" i="17" s="1"/>
  <c r="I3" i="1"/>
  <c r="I3" i="17" s="1"/>
  <c r="G3" i="1"/>
  <c r="G3" i="17" s="1"/>
  <c r="I2" i="1"/>
  <c r="I2" i="17" s="1"/>
  <c r="G2" i="1"/>
  <c r="G2" i="17" s="1"/>
  <c r="C157" i="14" l="1"/>
  <c r="C157" i="16"/>
  <c r="A156" i="14"/>
  <c r="A157" i="2"/>
  <c r="A157" i="15" s="1"/>
  <c r="A157" i="16" s="1"/>
  <c r="A157" i="17" s="1"/>
  <c r="I2" i="16"/>
  <c r="I2" i="14"/>
  <c r="G2" i="14"/>
  <c r="G2" i="16"/>
  <c r="I3" i="14"/>
  <c r="I3" i="16"/>
  <c r="I4" i="16"/>
  <c r="I4" i="14"/>
  <c r="G3" i="14"/>
  <c r="G3" i="16"/>
  <c r="I4" i="15"/>
  <c r="I4" i="2"/>
  <c r="I3" i="2"/>
  <c r="I3" i="15"/>
  <c r="G3" i="2"/>
  <c r="G3" i="15"/>
  <c r="I2" i="2"/>
  <c r="I2" i="15"/>
  <c r="G2" i="2"/>
  <c r="A148" i="1"/>
  <c r="C69" i="1"/>
  <c r="C68" i="1"/>
  <c r="C158" i="14" l="1"/>
  <c r="C158" i="16"/>
  <c r="A157" i="14"/>
  <c r="A158" i="2"/>
  <c r="A158" i="15" s="1"/>
  <c r="A158" i="16" s="1"/>
  <c r="A158" i="17" s="1"/>
  <c r="A149" i="1"/>
  <c r="H38" i="16"/>
  <c r="H37" i="16"/>
  <c r="B53" i="16" l="1"/>
  <c r="D44" i="16" s="1"/>
  <c r="H34" i="16"/>
  <c r="H35" i="16" s="1"/>
  <c r="C159" i="14"/>
  <c r="C159" i="16"/>
  <c r="A158" i="14"/>
  <c r="A159" i="2"/>
  <c r="A159" i="15" s="1"/>
  <c r="A159" i="16" s="1"/>
  <c r="A159" i="17" s="1"/>
  <c r="A150" i="1"/>
  <c r="B54" i="16"/>
  <c r="C160" i="14" l="1"/>
  <c r="C160" i="16"/>
  <c r="A159" i="14"/>
  <c r="A160" i="2"/>
  <c r="A160" i="15" s="1"/>
  <c r="A160" i="16" s="1"/>
  <c r="A160" i="17" s="1"/>
  <c r="A151" i="1"/>
  <c r="B50" i="16"/>
  <c r="D64" i="16"/>
  <c r="C161" i="14" l="1"/>
  <c r="C161" i="16"/>
  <c r="A160" i="14"/>
  <c r="A161" i="2"/>
  <c r="A161" i="15" s="1"/>
  <c r="A161" i="16" s="1"/>
  <c r="A161" i="17" s="1"/>
  <c r="A152" i="1"/>
  <c r="D22" i="15"/>
  <c r="D22" i="2"/>
  <c r="B22" i="2"/>
  <c r="C162" i="14" l="1"/>
  <c r="C162" i="16"/>
  <c r="A161" i="14"/>
  <c r="A162" i="2"/>
  <c r="A162" i="15" s="1"/>
  <c r="A162" i="16" s="1"/>
  <c r="A162" i="17" s="1"/>
  <c r="A153" i="1"/>
  <c r="B51" i="16"/>
  <c r="B34" i="16" l="1"/>
  <c r="L38" i="16"/>
  <c r="B35" i="16" s="1"/>
  <c r="L37" i="16"/>
  <c r="B36" i="16" s="1"/>
  <c r="C163" i="14"/>
  <c r="C163" i="16"/>
  <c r="A162" i="14"/>
  <c r="A163" i="2"/>
  <c r="A163" i="15" s="1"/>
  <c r="A163" i="16" s="1"/>
  <c r="A163" i="17" s="1"/>
  <c r="A154" i="1"/>
  <c r="B45" i="16"/>
  <c r="C22" i="16" s="1"/>
  <c r="B41" i="16" l="1"/>
  <c r="D26" i="16" s="1"/>
  <c r="D25" i="16"/>
  <c r="C164" i="14"/>
  <c r="C164" i="16"/>
  <c r="A163" i="14"/>
  <c r="A164" i="2"/>
  <c r="A164" i="15" s="1"/>
  <c r="A164" i="16" s="1"/>
  <c r="A164" i="17" s="1"/>
  <c r="A155" i="1"/>
  <c r="F38" i="1"/>
  <c r="F39" i="1"/>
  <c r="B55" i="1" s="1"/>
  <c r="C165" i="14" l="1"/>
  <c r="C165" i="16"/>
  <c r="A164" i="14"/>
  <c r="A165" i="2"/>
  <c r="A165" i="15" s="1"/>
  <c r="A165" i="16" s="1"/>
  <c r="A165" i="17" s="1"/>
  <c r="A156" i="1"/>
  <c r="D22" i="1"/>
  <c r="F36" i="1"/>
  <c r="F37" i="1" s="1"/>
  <c r="B51" i="1" s="1"/>
  <c r="B22" i="1"/>
  <c r="B54" i="1"/>
  <c r="C166" i="14" l="1"/>
  <c r="C166" i="16"/>
  <c r="A165" i="14"/>
  <c r="A166" i="2"/>
  <c r="A166" i="15" s="1"/>
  <c r="A166" i="16" s="1"/>
  <c r="A166" i="17" s="1"/>
  <c r="A157" i="1"/>
  <c r="B50" i="1"/>
  <c r="C167" i="14" l="1"/>
  <c r="C167" i="16"/>
  <c r="A166" i="14"/>
  <c r="A167" i="2"/>
  <c r="A167" i="15" s="1"/>
  <c r="A167" i="16" s="1"/>
  <c r="A167" i="17" s="1"/>
  <c r="B34" i="1"/>
  <c r="B36" i="1"/>
  <c r="B35" i="1"/>
  <c r="K77" i="1"/>
  <c r="K78" i="1"/>
  <c r="A158" i="1"/>
  <c r="B46" i="1"/>
  <c r="C22" i="1" s="1"/>
  <c r="C168" i="14" l="1"/>
  <c r="C168" i="16"/>
  <c r="A167" i="14"/>
  <c r="B41" i="1"/>
  <c r="D26" i="1" s="1"/>
  <c r="D25" i="1"/>
  <c r="A168" i="2"/>
  <c r="A168" i="15" s="1"/>
  <c r="A168" i="16" s="1"/>
  <c r="A168" i="17" s="1"/>
  <c r="A159" i="1"/>
  <c r="C169" i="14" l="1"/>
  <c r="C169" i="16"/>
  <c r="A168" i="14"/>
  <c r="A169" i="2"/>
  <c r="A169" i="15" s="1"/>
  <c r="A169" i="16" s="1"/>
  <c r="A169" i="17" s="1"/>
  <c r="A160" i="1"/>
  <c r="C170" i="14" l="1"/>
  <c r="C170" i="16"/>
  <c r="A169" i="14"/>
  <c r="A170" i="2"/>
  <c r="A170" i="15" s="1"/>
  <c r="A170" i="16" s="1"/>
  <c r="A170" i="17" s="1"/>
  <c r="A161" i="1"/>
  <c r="C171" i="14" l="1"/>
  <c r="C171" i="16"/>
  <c r="A170" i="14"/>
  <c r="A171" i="2"/>
  <c r="A171" i="15" s="1"/>
  <c r="A171" i="16" s="1"/>
  <c r="A171" i="17" s="1"/>
  <c r="A162" i="1"/>
  <c r="C172" i="14" l="1"/>
  <c r="C172" i="16"/>
  <c r="A171" i="14"/>
  <c r="A172" i="2"/>
  <c r="A172" i="15" s="1"/>
  <c r="A172" i="16" s="1"/>
  <c r="A172" i="17" s="1"/>
  <c r="A163" i="1"/>
  <c r="C173" i="14" l="1"/>
  <c r="H173" i="14" s="1"/>
  <c r="C173" i="16"/>
  <c r="A172" i="14"/>
  <c r="A173" i="2"/>
  <c r="A173" i="15" s="1"/>
  <c r="A173" i="16" s="1"/>
  <c r="A173" i="17" s="1"/>
  <c r="A164" i="1"/>
  <c r="A173" i="14" l="1"/>
  <c r="B168" i="2"/>
  <c r="D168" i="2" s="1"/>
  <c r="B170" i="2"/>
  <c r="D170" i="2" s="1"/>
  <c r="B172" i="2"/>
  <c r="D172" i="2" s="1"/>
  <c r="B173" i="2"/>
  <c r="B76" i="2"/>
  <c r="B75" i="2"/>
  <c r="B74" i="2"/>
  <c r="B78" i="2"/>
  <c r="B80" i="2"/>
  <c r="B77" i="2"/>
  <c r="B79" i="2"/>
  <c r="B82" i="2"/>
  <c r="B84" i="2"/>
  <c r="B81" i="2"/>
  <c r="B85" i="2"/>
  <c r="B86" i="2"/>
  <c r="B83" i="2"/>
  <c r="B87" i="2"/>
  <c r="B90" i="2"/>
  <c r="B88" i="2"/>
  <c r="B89" i="2"/>
  <c r="B92" i="2"/>
  <c r="B91" i="2"/>
  <c r="B93" i="2"/>
  <c r="B94" i="2"/>
  <c r="B95" i="2"/>
  <c r="B97" i="2"/>
  <c r="B96" i="2"/>
  <c r="B98" i="2"/>
  <c r="B99" i="2"/>
  <c r="B100" i="2"/>
  <c r="B103" i="2"/>
  <c r="B102" i="2"/>
  <c r="B101" i="2"/>
  <c r="B104" i="2"/>
  <c r="B105" i="2"/>
  <c r="B106" i="2"/>
  <c r="B107" i="2"/>
  <c r="B108" i="2"/>
  <c r="B109" i="2"/>
  <c r="B110" i="2"/>
  <c r="B114" i="2"/>
  <c r="B112" i="2"/>
  <c r="B111" i="2"/>
  <c r="B113" i="2"/>
  <c r="B116" i="2"/>
  <c r="B115" i="2"/>
  <c r="B117" i="2"/>
  <c r="B118" i="2"/>
  <c r="B120" i="2"/>
  <c r="B119" i="2"/>
  <c r="B122" i="2"/>
  <c r="B121" i="2"/>
  <c r="B127" i="2"/>
  <c r="B123" i="2"/>
  <c r="B124" i="2"/>
  <c r="B126" i="2"/>
  <c r="B125" i="2"/>
  <c r="B128" i="2"/>
  <c r="B129" i="2"/>
  <c r="B130" i="2"/>
  <c r="B132" i="2"/>
  <c r="B131" i="2"/>
  <c r="B134" i="2"/>
  <c r="B133" i="2"/>
  <c r="B135" i="2"/>
  <c r="B136" i="2"/>
  <c r="B137" i="2"/>
  <c r="B138" i="2"/>
  <c r="B139" i="2"/>
  <c r="B142" i="2"/>
  <c r="B140" i="2"/>
  <c r="B141" i="2"/>
  <c r="B143" i="2"/>
  <c r="B145" i="2"/>
  <c r="B144" i="2"/>
  <c r="B147" i="2"/>
  <c r="B146" i="2"/>
  <c r="B149" i="2"/>
  <c r="B148" i="2"/>
  <c r="B151" i="2"/>
  <c r="B150" i="2"/>
  <c r="B152" i="2"/>
  <c r="B155" i="2"/>
  <c r="B153" i="2"/>
  <c r="B154" i="2"/>
  <c r="B156" i="2"/>
  <c r="B157" i="2"/>
  <c r="B159" i="2"/>
  <c r="B158" i="2"/>
  <c r="B160" i="2"/>
  <c r="B161" i="2"/>
  <c r="B162" i="2"/>
  <c r="B163" i="2"/>
  <c r="B169" i="2"/>
  <c r="B167" i="2"/>
  <c r="B171" i="2"/>
  <c r="B164" i="2"/>
  <c r="B166" i="2"/>
  <c r="B165" i="2"/>
  <c r="A165" i="1"/>
  <c r="F172" i="2" l="1"/>
  <c r="I172" i="2" s="1"/>
  <c r="F170" i="2"/>
  <c r="I170" i="2" s="1"/>
  <c r="F168" i="2"/>
  <c r="I168" i="2" s="1"/>
  <c r="B172" i="15"/>
  <c r="B172" i="16" s="1"/>
  <c r="G168" i="2"/>
  <c r="B170" i="15"/>
  <c r="B170" i="16" s="1"/>
  <c r="B168" i="15"/>
  <c r="B168" i="16" s="1"/>
  <c r="G170" i="2"/>
  <c r="G172" i="2"/>
  <c r="D159" i="2"/>
  <c r="B159" i="15"/>
  <c r="B159" i="16" s="1"/>
  <c r="D159" i="16" s="1"/>
  <c r="D151" i="2"/>
  <c r="B151" i="15"/>
  <c r="B151" i="16" s="1"/>
  <c r="D141" i="2"/>
  <c r="B141" i="15"/>
  <c r="D133" i="2"/>
  <c r="B133" i="15"/>
  <c r="D126" i="2"/>
  <c r="B126" i="15"/>
  <c r="D118" i="2"/>
  <c r="B118" i="15"/>
  <c r="D110" i="2"/>
  <c r="B110" i="15"/>
  <c r="D102" i="2"/>
  <c r="B102" i="15"/>
  <c r="D94" i="2"/>
  <c r="B94" i="15"/>
  <c r="D83" i="2"/>
  <c r="B83" i="15"/>
  <c r="D80" i="2"/>
  <c r="B80" i="15"/>
  <c r="D171" i="2"/>
  <c r="B171" i="15"/>
  <c r="B171" i="16" s="1"/>
  <c r="D167" i="2"/>
  <c r="B167" i="15"/>
  <c r="B167" i="16" s="1"/>
  <c r="D157" i="2"/>
  <c r="B157" i="15"/>
  <c r="B157" i="16" s="1"/>
  <c r="D148" i="2"/>
  <c r="B148" i="15"/>
  <c r="B148" i="16" s="1"/>
  <c r="D140" i="2"/>
  <c r="B140" i="15"/>
  <c r="D134" i="2"/>
  <c r="B134" i="15"/>
  <c r="D124" i="2"/>
  <c r="B124" i="15"/>
  <c r="D117" i="2"/>
  <c r="B117" i="15"/>
  <c r="D109" i="2"/>
  <c r="B109" i="15"/>
  <c r="D103" i="2"/>
  <c r="B103" i="15"/>
  <c r="D93" i="2"/>
  <c r="B93" i="15"/>
  <c r="D86" i="2"/>
  <c r="B86" i="15"/>
  <c r="D78" i="2"/>
  <c r="B78" i="15"/>
  <c r="D169" i="2"/>
  <c r="B169" i="15"/>
  <c r="B169" i="16" s="1"/>
  <c r="D156" i="2"/>
  <c r="B156" i="15"/>
  <c r="B156" i="16" s="1"/>
  <c r="D156" i="16" s="1"/>
  <c r="D149" i="2"/>
  <c r="B149" i="15"/>
  <c r="B149" i="16" s="1"/>
  <c r="D142" i="2"/>
  <c r="B142" i="15"/>
  <c r="B142" i="16" s="1"/>
  <c r="D131" i="2"/>
  <c r="B131" i="15"/>
  <c r="D123" i="2"/>
  <c r="B123" i="15"/>
  <c r="D115" i="2"/>
  <c r="B115" i="15"/>
  <c r="D108" i="2"/>
  <c r="B108" i="15"/>
  <c r="D100" i="2"/>
  <c r="B100" i="15"/>
  <c r="D91" i="2"/>
  <c r="B91" i="15"/>
  <c r="D85" i="2"/>
  <c r="B85" i="15"/>
  <c r="D74" i="2"/>
  <c r="B74" i="15"/>
  <c r="D154" i="2"/>
  <c r="B154" i="15"/>
  <c r="B154" i="16" s="1"/>
  <c r="D146" i="2"/>
  <c r="B146" i="15"/>
  <c r="B146" i="16" s="1"/>
  <c r="D139" i="2"/>
  <c r="B139" i="15"/>
  <c r="D132" i="2"/>
  <c r="B132" i="15"/>
  <c r="D127" i="2"/>
  <c r="B127" i="15"/>
  <c r="D116" i="2"/>
  <c r="B116" i="15"/>
  <c r="D107" i="2"/>
  <c r="B107" i="15"/>
  <c r="D99" i="2"/>
  <c r="B99" i="15"/>
  <c r="D92" i="2"/>
  <c r="B92" i="15"/>
  <c r="D81" i="2"/>
  <c r="B81" i="15"/>
  <c r="D75" i="2"/>
  <c r="B75" i="15"/>
  <c r="D162" i="2"/>
  <c r="B162" i="15"/>
  <c r="B162" i="16" s="1"/>
  <c r="D153" i="2"/>
  <c r="B153" i="15"/>
  <c r="B153" i="16" s="1"/>
  <c r="D147" i="2"/>
  <c r="B147" i="15"/>
  <c r="B147" i="16" s="1"/>
  <c r="D138" i="2"/>
  <c r="B138" i="15"/>
  <c r="D130" i="2"/>
  <c r="B130" i="15"/>
  <c r="D121" i="2"/>
  <c r="B121" i="15"/>
  <c r="D113" i="2"/>
  <c r="B113" i="15"/>
  <c r="D106" i="2"/>
  <c r="B106" i="15"/>
  <c r="D98" i="2"/>
  <c r="B98" i="15"/>
  <c r="D89" i="2"/>
  <c r="B89" i="15"/>
  <c r="D84" i="2"/>
  <c r="B84" i="15"/>
  <c r="D76" i="2"/>
  <c r="B76" i="15"/>
  <c r="D165" i="2"/>
  <c r="B165" i="15"/>
  <c r="B165" i="16" s="1"/>
  <c r="D161" i="2"/>
  <c r="B161" i="15"/>
  <c r="B161" i="16" s="1"/>
  <c r="D155" i="2"/>
  <c r="B155" i="15"/>
  <c r="B155" i="16" s="1"/>
  <c r="D144" i="2"/>
  <c r="B144" i="15"/>
  <c r="B144" i="16" s="1"/>
  <c r="D137" i="2"/>
  <c r="B137" i="15"/>
  <c r="D129" i="2"/>
  <c r="B129" i="15"/>
  <c r="D122" i="2"/>
  <c r="B122" i="15"/>
  <c r="D111" i="2"/>
  <c r="B111" i="15"/>
  <c r="D105" i="2"/>
  <c r="B105" i="15"/>
  <c r="D96" i="2"/>
  <c r="B96" i="15"/>
  <c r="D88" i="2"/>
  <c r="B88" i="15"/>
  <c r="D82" i="2"/>
  <c r="B82" i="15"/>
  <c r="D173" i="2"/>
  <c r="B173" i="15"/>
  <c r="B173" i="16" s="1"/>
  <c r="D166" i="2"/>
  <c r="B166" i="15"/>
  <c r="B166" i="16" s="1"/>
  <c r="D152" i="2"/>
  <c r="B152" i="15"/>
  <c r="B152" i="16" s="1"/>
  <c r="D152" i="16" s="1"/>
  <c r="D145" i="2"/>
  <c r="B145" i="15"/>
  <c r="B145" i="16" s="1"/>
  <c r="D136" i="2"/>
  <c r="B136" i="15"/>
  <c r="D128" i="2"/>
  <c r="B128" i="15"/>
  <c r="D119" i="2"/>
  <c r="B119" i="15"/>
  <c r="D112" i="2"/>
  <c r="B112" i="15"/>
  <c r="D104" i="2"/>
  <c r="B104" i="15"/>
  <c r="D97" i="2"/>
  <c r="B97" i="15"/>
  <c r="D90" i="2"/>
  <c r="B90" i="15"/>
  <c r="D79" i="2"/>
  <c r="B79" i="15"/>
  <c r="D163" i="2"/>
  <c r="B163" i="15"/>
  <c r="B163" i="16" s="1"/>
  <c r="D160" i="2"/>
  <c r="B160" i="15"/>
  <c r="B160" i="16" s="1"/>
  <c r="D164" i="2"/>
  <c r="B164" i="15"/>
  <c r="B164" i="16" s="1"/>
  <c r="D158" i="2"/>
  <c r="B158" i="15"/>
  <c r="B158" i="16" s="1"/>
  <c r="D150" i="2"/>
  <c r="B150" i="15"/>
  <c r="B150" i="16" s="1"/>
  <c r="D143" i="2"/>
  <c r="B143" i="15"/>
  <c r="B143" i="16" s="1"/>
  <c r="D135" i="2"/>
  <c r="B135" i="15"/>
  <c r="D125" i="2"/>
  <c r="B125" i="15"/>
  <c r="D120" i="2"/>
  <c r="B120" i="15"/>
  <c r="D114" i="2"/>
  <c r="B114" i="15"/>
  <c r="D101" i="2"/>
  <c r="B101" i="15"/>
  <c r="D95" i="2"/>
  <c r="B95" i="15"/>
  <c r="D87" i="2"/>
  <c r="B87" i="15"/>
  <c r="D77" i="2"/>
  <c r="B77" i="15"/>
  <c r="A166" i="1"/>
  <c r="F114" i="2" l="1"/>
  <c r="I114" i="2" s="1"/>
  <c r="F96" i="2"/>
  <c r="I96" i="2" s="1"/>
  <c r="F129" i="2"/>
  <c r="I129" i="2" s="1"/>
  <c r="F161" i="2"/>
  <c r="I161" i="2" s="1"/>
  <c r="F89" i="2"/>
  <c r="I89" i="2" s="1"/>
  <c r="F121" i="2"/>
  <c r="I121" i="2" s="1"/>
  <c r="F153" i="2"/>
  <c r="I153" i="2" s="1"/>
  <c r="F92" i="2"/>
  <c r="I92" i="2" s="1"/>
  <c r="F127" i="2"/>
  <c r="I127" i="2" s="1"/>
  <c r="F154" i="2"/>
  <c r="I154" i="2" s="1"/>
  <c r="F100" i="2"/>
  <c r="I100" i="2" s="1"/>
  <c r="F131" i="2"/>
  <c r="I131" i="2" s="1"/>
  <c r="F169" i="2"/>
  <c r="I169" i="2" s="1"/>
  <c r="F103" i="2"/>
  <c r="I103" i="2" s="1"/>
  <c r="F134" i="2"/>
  <c r="I134" i="2" s="1"/>
  <c r="F167" i="2"/>
  <c r="I167" i="2" s="1"/>
  <c r="F94" i="2"/>
  <c r="I94" i="2" s="1"/>
  <c r="F126" i="2"/>
  <c r="I126" i="2" s="1"/>
  <c r="F159" i="2"/>
  <c r="I159" i="2" s="1"/>
  <c r="F128" i="2"/>
  <c r="I128" i="2" s="1"/>
  <c r="F120" i="2"/>
  <c r="I120" i="2" s="1"/>
  <c r="F163" i="2"/>
  <c r="I163" i="2" s="1"/>
  <c r="F136" i="2"/>
  <c r="I136" i="2" s="1"/>
  <c r="F173" i="2"/>
  <c r="I173" i="2" s="1"/>
  <c r="F105" i="2"/>
  <c r="I105" i="2" s="1"/>
  <c r="F165" i="2"/>
  <c r="I165" i="2" s="1"/>
  <c r="F98" i="2"/>
  <c r="I98" i="2" s="1"/>
  <c r="F130" i="2"/>
  <c r="I130" i="2" s="1"/>
  <c r="F162" i="2"/>
  <c r="I162" i="2" s="1"/>
  <c r="F99" i="2"/>
  <c r="I99" i="2" s="1"/>
  <c r="F132" i="2"/>
  <c r="I132" i="2" s="1"/>
  <c r="F108" i="2"/>
  <c r="I108" i="2" s="1"/>
  <c r="F142" i="2"/>
  <c r="I142" i="2" s="1"/>
  <c r="F78" i="2"/>
  <c r="I78" i="2" s="1"/>
  <c r="F109" i="2"/>
  <c r="I109" i="2" s="1"/>
  <c r="F140" i="2"/>
  <c r="I140" i="2" s="1"/>
  <c r="F171" i="2"/>
  <c r="I171" i="2" s="1"/>
  <c r="F102" i="2"/>
  <c r="I102" i="2" s="1"/>
  <c r="F133" i="2"/>
  <c r="I133" i="2" s="1"/>
  <c r="F143" i="2"/>
  <c r="I143" i="2" s="1"/>
  <c r="F87" i="2"/>
  <c r="I87" i="2" s="1"/>
  <c r="F150" i="2"/>
  <c r="I150" i="2" s="1"/>
  <c r="F104" i="2"/>
  <c r="I104" i="2" s="1"/>
  <c r="F137" i="2"/>
  <c r="I137" i="2" s="1"/>
  <c r="F97" i="2"/>
  <c r="I97" i="2" s="1"/>
  <c r="F95" i="2"/>
  <c r="I95" i="2" s="1"/>
  <c r="F79" i="2"/>
  <c r="I79" i="2" s="1"/>
  <c r="F145" i="2"/>
  <c r="I145" i="2" s="1"/>
  <c r="F82" i="2"/>
  <c r="I82" i="2" s="1"/>
  <c r="F111" i="2"/>
  <c r="I111" i="2" s="1"/>
  <c r="F144" i="2"/>
  <c r="I144" i="2" s="1"/>
  <c r="F76" i="2"/>
  <c r="I76" i="2" s="1"/>
  <c r="F106" i="2"/>
  <c r="I106" i="2" s="1"/>
  <c r="F138" i="2"/>
  <c r="I138" i="2" s="1"/>
  <c r="F75" i="2"/>
  <c r="I75" i="2" s="1"/>
  <c r="F107" i="2"/>
  <c r="I107" i="2" s="1"/>
  <c r="F139" i="2"/>
  <c r="I139" i="2" s="1"/>
  <c r="F85" i="2"/>
  <c r="I85" i="2" s="1"/>
  <c r="F115" i="2"/>
  <c r="I115" i="2" s="1"/>
  <c r="F149" i="2"/>
  <c r="I149" i="2" s="1"/>
  <c r="F86" i="2"/>
  <c r="I86" i="2" s="1"/>
  <c r="F117" i="2"/>
  <c r="I117" i="2" s="1"/>
  <c r="F148" i="2"/>
  <c r="I148" i="2" s="1"/>
  <c r="F80" i="2"/>
  <c r="I80" i="2" s="1"/>
  <c r="F110" i="2"/>
  <c r="I110" i="2" s="1"/>
  <c r="F141" i="2"/>
  <c r="I141" i="2" s="1"/>
  <c r="F77" i="2"/>
  <c r="I77" i="2" s="1"/>
  <c r="F125" i="2"/>
  <c r="I125" i="2" s="1"/>
  <c r="F166" i="2"/>
  <c r="I166" i="2" s="1"/>
  <c r="F112" i="2"/>
  <c r="I112" i="2" s="1"/>
  <c r="F135" i="2"/>
  <c r="I135" i="2" s="1"/>
  <c r="F164" i="2"/>
  <c r="I164" i="2" s="1"/>
  <c r="F90" i="2"/>
  <c r="I90" i="2" s="1"/>
  <c r="F119" i="2"/>
  <c r="I119" i="2" s="1"/>
  <c r="F152" i="2"/>
  <c r="I152" i="2" s="1"/>
  <c r="F88" i="2"/>
  <c r="I88" i="2" s="1"/>
  <c r="F122" i="2"/>
  <c r="I122" i="2" s="1"/>
  <c r="F155" i="2"/>
  <c r="I155" i="2" s="1"/>
  <c r="F84" i="2"/>
  <c r="I84" i="2" s="1"/>
  <c r="F113" i="2"/>
  <c r="I113" i="2" s="1"/>
  <c r="F147" i="2"/>
  <c r="I147" i="2" s="1"/>
  <c r="F81" i="2"/>
  <c r="I81" i="2" s="1"/>
  <c r="F116" i="2"/>
  <c r="I116" i="2" s="1"/>
  <c r="F146" i="2"/>
  <c r="I146" i="2" s="1"/>
  <c r="F91" i="2"/>
  <c r="I91" i="2" s="1"/>
  <c r="F123" i="2"/>
  <c r="I123" i="2" s="1"/>
  <c r="F156" i="2"/>
  <c r="I156" i="2" s="1"/>
  <c r="F93" i="2"/>
  <c r="I93" i="2" s="1"/>
  <c r="F124" i="2"/>
  <c r="I124" i="2" s="1"/>
  <c r="F157" i="2"/>
  <c r="I157" i="2" s="1"/>
  <c r="F83" i="2"/>
  <c r="I83" i="2" s="1"/>
  <c r="F118" i="2"/>
  <c r="I118" i="2" s="1"/>
  <c r="F151" i="2"/>
  <c r="I151" i="2" s="1"/>
  <c r="F160" i="2"/>
  <c r="I160" i="2" s="1"/>
  <c r="F158" i="2"/>
  <c r="I158" i="2" s="1"/>
  <c r="F101" i="2"/>
  <c r="I101" i="2" s="1"/>
  <c r="F74" i="2"/>
  <c r="I74" i="2" s="1"/>
  <c r="H74" i="2" s="1"/>
  <c r="B114" i="16"/>
  <c r="B114" i="17" s="1"/>
  <c r="D114" i="17" s="1"/>
  <c r="B131" i="16"/>
  <c r="D131" i="16" s="1"/>
  <c r="F131" i="16" s="1"/>
  <c r="I131" i="16" s="1"/>
  <c r="H131" i="16" s="1"/>
  <c r="B126" i="16"/>
  <c r="B126" i="17" s="1"/>
  <c r="D126" i="17" s="1"/>
  <c r="B97" i="16"/>
  <c r="D97" i="16" s="1"/>
  <c r="B129" i="16"/>
  <c r="D129" i="16" s="1"/>
  <c r="B89" i="16"/>
  <c r="D89" i="16" s="1"/>
  <c r="F89" i="16" s="1"/>
  <c r="I89" i="16" s="1"/>
  <c r="H89" i="16" s="1"/>
  <c r="B121" i="16"/>
  <c r="D121" i="16" s="1"/>
  <c r="F121" i="16" s="1"/>
  <c r="I121" i="16" s="1"/>
  <c r="H121" i="16" s="1"/>
  <c r="B92" i="16"/>
  <c r="D92" i="16" s="1"/>
  <c r="F92" i="16" s="1"/>
  <c r="I92" i="16" s="1"/>
  <c r="H92" i="16" s="1"/>
  <c r="B127" i="16"/>
  <c r="D127" i="16" s="1"/>
  <c r="B100" i="16"/>
  <c r="D100" i="16" s="1"/>
  <c r="F100" i="16" s="1"/>
  <c r="I100" i="16" s="1"/>
  <c r="H100" i="16" s="1"/>
  <c r="B103" i="16"/>
  <c r="B103" i="17" s="1"/>
  <c r="D103" i="17" s="1"/>
  <c r="B134" i="16"/>
  <c r="D134" i="16" s="1"/>
  <c r="F134" i="16" s="1"/>
  <c r="I134" i="16" s="1"/>
  <c r="H134" i="16" s="1"/>
  <c r="B94" i="16"/>
  <c r="D94" i="16" s="1"/>
  <c r="G94" i="16" s="1"/>
  <c r="B87" i="16"/>
  <c r="B87" i="17" s="1"/>
  <c r="D87" i="17" s="1"/>
  <c r="B120" i="16"/>
  <c r="D120" i="16" s="1"/>
  <c r="F120" i="16" s="1"/>
  <c r="I120" i="16" s="1"/>
  <c r="H120" i="16" s="1"/>
  <c r="B104" i="16"/>
  <c r="D104" i="16" s="1"/>
  <c r="G104" i="16" s="1"/>
  <c r="B136" i="16"/>
  <c r="D136" i="16" s="1"/>
  <c r="B105" i="16"/>
  <c r="B105" i="17" s="1"/>
  <c r="D105" i="17" s="1"/>
  <c r="B137" i="16"/>
  <c r="D137" i="16" s="1"/>
  <c r="F137" i="16" s="1"/>
  <c r="I137" i="16" s="1"/>
  <c r="H137" i="16" s="1"/>
  <c r="B98" i="16"/>
  <c r="D98" i="16" s="1"/>
  <c r="F98" i="16" s="1"/>
  <c r="I98" i="16" s="1"/>
  <c r="H98" i="16" s="1"/>
  <c r="B130" i="16"/>
  <c r="D130" i="16" s="1"/>
  <c r="B99" i="16"/>
  <c r="D99" i="16" s="1"/>
  <c r="F99" i="16" s="1"/>
  <c r="I99" i="16" s="1"/>
  <c r="H99" i="16" s="1"/>
  <c r="B132" i="16"/>
  <c r="D132" i="16" s="1"/>
  <c r="B74" i="16"/>
  <c r="D74" i="16" s="1"/>
  <c r="F74" i="16" s="1"/>
  <c r="I74" i="16" s="1"/>
  <c r="H74" i="16" s="1"/>
  <c r="B108" i="16"/>
  <c r="D108" i="16" s="1"/>
  <c r="F108" i="16" s="1"/>
  <c r="I108" i="16" s="1"/>
  <c r="H108" i="16" s="1"/>
  <c r="B78" i="16"/>
  <c r="B78" i="17" s="1"/>
  <c r="D78" i="17" s="1"/>
  <c r="B109" i="16"/>
  <c r="D109" i="16" s="1"/>
  <c r="G109" i="16" s="1"/>
  <c r="B140" i="16"/>
  <c r="D140" i="16" s="1"/>
  <c r="B102" i="16"/>
  <c r="D102" i="16" s="1"/>
  <c r="F102" i="16" s="1"/>
  <c r="I102" i="16" s="1"/>
  <c r="H102" i="16" s="1"/>
  <c r="B133" i="16"/>
  <c r="D133" i="16" s="1"/>
  <c r="F133" i="16" s="1"/>
  <c r="I133" i="16" s="1"/>
  <c r="H133" i="16" s="1"/>
  <c r="B96" i="16"/>
  <c r="D96" i="16" s="1"/>
  <c r="G96" i="16" s="1"/>
  <c r="B95" i="16"/>
  <c r="D95" i="16" s="1"/>
  <c r="F95" i="16" s="1"/>
  <c r="I95" i="16" s="1"/>
  <c r="H95" i="16" s="1"/>
  <c r="B125" i="16"/>
  <c r="D125" i="16" s="1"/>
  <c r="F125" i="16" s="1"/>
  <c r="I125" i="16" s="1"/>
  <c r="H125" i="16" s="1"/>
  <c r="B79" i="16"/>
  <c r="D79" i="16" s="1"/>
  <c r="F79" i="16" s="1"/>
  <c r="I79" i="16" s="1"/>
  <c r="H79" i="16" s="1"/>
  <c r="B112" i="16"/>
  <c r="D112" i="16" s="1"/>
  <c r="F112" i="16" s="1"/>
  <c r="I112" i="16" s="1"/>
  <c r="H112" i="16" s="1"/>
  <c r="B82" i="16"/>
  <c r="B82" i="17" s="1"/>
  <c r="D82" i="17" s="1"/>
  <c r="B111" i="16"/>
  <c r="D111" i="16" s="1"/>
  <c r="B76" i="16"/>
  <c r="D76" i="16" s="1"/>
  <c r="G76" i="16" s="1"/>
  <c r="B106" i="16"/>
  <c r="B106" i="17" s="1"/>
  <c r="D106" i="17" s="1"/>
  <c r="B138" i="16"/>
  <c r="D138" i="16" s="1"/>
  <c r="F138" i="16" s="1"/>
  <c r="I138" i="16" s="1"/>
  <c r="H138" i="16" s="1"/>
  <c r="B75" i="16"/>
  <c r="B75" i="17" s="1"/>
  <c r="D75" i="17" s="1"/>
  <c r="B107" i="16"/>
  <c r="D107" i="16" s="1"/>
  <c r="F107" i="16" s="1"/>
  <c r="I107" i="16" s="1"/>
  <c r="H107" i="16" s="1"/>
  <c r="B139" i="16"/>
  <c r="D139" i="16" s="1"/>
  <c r="F139" i="16" s="1"/>
  <c r="I139" i="16" s="1"/>
  <c r="B85" i="16"/>
  <c r="D85" i="16" s="1"/>
  <c r="F85" i="16" s="1"/>
  <c r="I85" i="16" s="1"/>
  <c r="H85" i="16" s="1"/>
  <c r="B115" i="16"/>
  <c r="D115" i="16" s="1"/>
  <c r="B86" i="16"/>
  <c r="D86" i="16" s="1"/>
  <c r="B117" i="16"/>
  <c r="D117" i="16" s="1"/>
  <c r="F117" i="16" s="1"/>
  <c r="I117" i="16" s="1"/>
  <c r="H117" i="16" s="1"/>
  <c r="B80" i="16"/>
  <c r="B80" i="17" s="1"/>
  <c r="D80" i="17" s="1"/>
  <c r="B110" i="16"/>
  <c r="B110" i="17" s="1"/>
  <c r="D110" i="17" s="1"/>
  <c r="B141" i="16"/>
  <c r="D141" i="16" s="1"/>
  <c r="B77" i="16"/>
  <c r="D77" i="16" s="1"/>
  <c r="F77" i="16" s="1"/>
  <c r="I77" i="16" s="1"/>
  <c r="H77" i="16" s="1"/>
  <c r="B128" i="16"/>
  <c r="D128" i="16" s="1"/>
  <c r="B101" i="16"/>
  <c r="B101" i="17" s="1"/>
  <c r="D101" i="17" s="1"/>
  <c r="B135" i="16"/>
  <c r="B135" i="17" s="1"/>
  <c r="D135" i="17" s="1"/>
  <c r="F135" i="17" s="1"/>
  <c r="I135" i="17" s="1"/>
  <c r="H135" i="17" s="1"/>
  <c r="B90" i="16"/>
  <c r="D90" i="16" s="1"/>
  <c r="B119" i="16"/>
  <c r="B119" i="17" s="1"/>
  <c r="D119" i="17" s="1"/>
  <c r="B88" i="16"/>
  <c r="B88" i="17" s="1"/>
  <c r="D88" i="17" s="1"/>
  <c r="B122" i="16"/>
  <c r="D122" i="16" s="1"/>
  <c r="F122" i="16" s="1"/>
  <c r="I122" i="16" s="1"/>
  <c r="H122" i="16" s="1"/>
  <c r="B84" i="16"/>
  <c r="B84" i="17" s="1"/>
  <c r="D84" i="17" s="1"/>
  <c r="B113" i="16"/>
  <c r="D113" i="16" s="1"/>
  <c r="B81" i="16"/>
  <c r="D81" i="16" s="1"/>
  <c r="B116" i="16"/>
  <c r="B116" i="17" s="1"/>
  <c r="D116" i="17" s="1"/>
  <c r="B91" i="16"/>
  <c r="B91" i="17" s="1"/>
  <c r="D91" i="17" s="1"/>
  <c r="B123" i="16"/>
  <c r="D123" i="16" s="1"/>
  <c r="F123" i="16" s="1"/>
  <c r="I123" i="16" s="1"/>
  <c r="H123" i="16" s="1"/>
  <c r="B93" i="16"/>
  <c r="B93" i="17" s="1"/>
  <c r="D93" i="17" s="1"/>
  <c r="B124" i="16"/>
  <c r="D124" i="16" s="1"/>
  <c r="F124" i="16" s="1"/>
  <c r="I124" i="16" s="1"/>
  <c r="H124" i="16" s="1"/>
  <c r="B83" i="16"/>
  <c r="B83" i="17" s="1"/>
  <c r="D83" i="17" s="1"/>
  <c r="B118" i="16"/>
  <c r="D118" i="16" s="1"/>
  <c r="G118" i="16" s="1"/>
  <c r="D145" i="16"/>
  <c r="B145" i="17"/>
  <c r="D145" i="17" s="1"/>
  <c r="D149" i="16"/>
  <c r="G149" i="16" s="1"/>
  <c r="B149" i="17"/>
  <c r="D149" i="17" s="1"/>
  <c r="D148" i="16"/>
  <c r="F148" i="16" s="1"/>
  <c r="I148" i="16" s="1"/>
  <c r="H148" i="16" s="1"/>
  <c r="B148" i="17"/>
  <c r="D148" i="17" s="1"/>
  <c r="D168" i="16"/>
  <c r="B168" i="17"/>
  <c r="D168" i="17" s="1"/>
  <c r="D170" i="16"/>
  <c r="B170" i="17"/>
  <c r="D170" i="17" s="1"/>
  <c r="D144" i="16"/>
  <c r="B144" i="17"/>
  <c r="D144" i="17" s="1"/>
  <c r="B152" i="17"/>
  <c r="D152" i="17" s="1"/>
  <c r="D146" i="16"/>
  <c r="G146" i="16" s="1"/>
  <c r="B146" i="17"/>
  <c r="D146" i="17" s="1"/>
  <c r="G156" i="16"/>
  <c r="B156" i="17"/>
  <c r="D156" i="17" s="1"/>
  <c r="D157" i="16"/>
  <c r="G157" i="16" s="1"/>
  <c r="B157" i="17"/>
  <c r="D157" i="17" s="1"/>
  <c r="D151" i="16"/>
  <c r="B151" i="17"/>
  <c r="D151" i="17" s="1"/>
  <c r="D158" i="16"/>
  <c r="G158" i="16" s="1"/>
  <c r="B158" i="17"/>
  <c r="D158" i="17" s="1"/>
  <c r="D164" i="16"/>
  <c r="G164" i="16" s="1"/>
  <c r="B164" i="17"/>
  <c r="D164" i="17" s="1"/>
  <c r="D155" i="16"/>
  <c r="F155" i="16" s="1"/>
  <c r="I155" i="16" s="1"/>
  <c r="H155" i="16" s="1"/>
  <c r="B155" i="17"/>
  <c r="D155" i="17" s="1"/>
  <c r="D147" i="16"/>
  <c r="B147" i="17"/>
  <c r="D147" i="17" s="1"/>
  <c r="D150" i="16"/>
  <c r="G150" i="16" s="1"/>
  <c r="B150" i="17"/>
  <c r="D150" i="17" s="1"/>
  <c r="D143" i="16"/>
  <c r="F143" i="16" s="1"/>
  <c r="I143" i="16" s="1"/>
  <c r="H143" i="16" s="1"/>
  <c r="B143" i="17"/>
  <c r="D143" i="17" s="1"/>
  <c r="D166" i="16"/>
  <c r="G166" i="16" s="1"/>
  <c r="B166" i="17"/>
  <c r="D166" i="17" s="1"/>
  <c r="D153" i="16"/>
  <c r="F153" i="16" s="1"/>
  <c r="I153" i="16" s="1"/>
  <c r="H153" i="16" s="1"/>
  <c r="B153" i="17"/>
  <c r="D153" i="17" s="1"/>
  <c r="D154" i="16"/>
  <c r="B154" i="17"/>
  <c r="D154" i="17" s="1"/>
  <c r="D169" i="16"/>
  <c r="B169" i="17"/>
  <c r="D169" i="17" s="1"/>
  <c r="D167" i="16"/>
  <c r="F167" i="16" s="1"/>
  <c r="I167" i="16" s="1"/>
  <c r="H167" i="16" s="1"/>
  <c r="B167" i="17"/>
  <c r="D167" i="17" s="1"/>
  <c r="B159" i="17"/>
  <c r="D159" i="17" s="1"/>
  <c r="D172" i="16"/>
  <c r="G172" i="16" s="1"/>
  <c r="B172" i="17"/>
  <c r="D172" i="17" s="1"/>
  <c r="D160" i="16"/>
  <c r="G160" i="16" s="1"/>
  <c r="B160" i="17"/>
  <c r="D160" i="17" s="1"/>
  <c r="D161" i="16"/>
  <c r="F161" i="16" s="1"/>
  <c r="I161" i="16" s="1"/>
  <c r="H161" i="16" s="1"/>
  <c r="B161" i="17"/>
  <c r="D161" i="17" s="1"/>
  <c r="D163" i="16"/>
  <c r="F163" i="16" s="1"/>
  <c r="I163" i="16" s="1"/>
  <c r="H163" i="16" s="1"/>
  <c r="B163" i="17"/>
  <c r="D163" i="17" s="1"/>
  <c r="D173" i="16"/>
  <c r="F173" i="16" s="1"/>
  <c r="I173" i="16" s="1"/>
  <c r="H173" i="16" s="1"/>
  <c r="B173" i="17"/>
  <c r="D173" i="17" s="1"/>
  <c r="D165" i="16"/>
  <c r="G165" i="16" s="1"/>
  <c r="B165" i="17"/>
  <c r="D165" i="17" s="1"/>
  <c r="D162" i="16"/>
  <c r="G162" i="16" s="1"/>
  <c r="B162" i="17"/>
  <c r="D162" i="17" s="1"/>
  <c r="D142" i="16"/>
  <c r="G142" i="16" s="1"/>
  <c r="B142" i="17"/>
  <c r="D142" i="17" s="1"/>
  <c r="D171" i="16"/>
  <c r="F171" i="16" s="1"/>
  <c r="I171" i="16" s="1"/>
  <c r="H171" i="16" s="1"/>
  <c r="B171" i="17"/>
  <c r="D171" i="17" s="1"/>
  <c r="B95" i="14"/>
  <c r="B125" i="14"/>
  <c r="B158" i="14"/>
  <c r="B79" i="14"/>
  <c r="B112" i="14"/>
  <c r="B145" i="14"/>
  <c r="B82" i="14"/>
  <c r="B111" i="14"/>
  <c r="B144" i="14"/>
  <c r="B76" i="14"/>
  <c r="D76" i="14" s="1"/>
  <c r="F76" i="14" s="1"/>
  <c r="I76" i="14" s="1"/>
  <c r="H76" i="14" s="1"/>
  <c r="B106" i="14"/>
  <c r="B138" i="14"/>
  <c r="B75" i="14"/>
  <c r="D75" i="14" s="1"/>
  <c r="F75" i="14" s="1"/>
  <c r="I75" i="14" s="1"/>
  <c r="H75" i="14" s="1"/>
  <c r="B107" i="14"/>
  <c r="B139" i="14"/>
  <c r="B85" i="14"/>
  <c r="B115" i="14"/>
  <c r="B149" i="14"/>
  <c r="B86" i="14"/>
  <c r="B117" i="14"/>
  <c r="B148" i="14"/>
  <c r="B80" i="14"/>
  <c r="B110" i="14"/>
  <c r="B141" i="14"/>
  <c r="B168" i="14"/>
  <c r="B170" i="14"/>
  <c r="B101" i="14"/>
  <c r="B135" i="14"/>
  <c r="B164" i="14"/>
  <c r="B90" i="14"/>
  <c r="B119" i="14"/>
  <c r="B152" i="14"/>
  <c r="B88" i="14"/>
  <c r="B122" i="14"/>
  <c r="B155" i="14"/>
  <c r="B84" i="14"/>
  <c r="B113" i="14"/>
  <c r="B147" i="14"/>
  <c r="B81" i="14"/>
  <c r="B116" i="14"/>
  <c r="B146" i="14"/>
  <c r="B91" i="14"/>
  <c r="B123" i="14"/>
  <c r="B156" i="14"/>
  <c r="B93" i="14"/>
  <c r="B124" i="14"/>
  <c r="B157" i="14"/>
  <c r="B83" i="14"/>
  <c r="B118" i="14"/>
  <c r="B151" i="14"/>
  <c r="B77" i="14"/>
  <c r="D77" i="14" s="1"/>
  <c r="F77" i="14" s="1"/>
  <c r="I77" i="14" s="1"/>
  <c r="H77" i="14" s="1"/>
  <c r="B114" i="14"/>
  <c r="B143" i="14"/>
  <c r="B160" i="14"/>
  <c r="B97" i="14"/>
  <c r="B128" i="14"/>
  <c r="B166" i="14"/>
  <c r="B96" i="14"/>
  <c r="B129" i="14"/>
  <c r="B161" i="14"/>
  <c r="B89" i="14"/>
  <c r="B121" i="14"/>
  <c r="B153" i="14"/>
  <c r="B92" i="14"/>
  <c r="B127" i="14"/>
  <c r="B154" i="14"/>
  <c r="B100" i="14"/>
  <c r="B131" i="14"/>
  <c r="B169" i="14"/>
  <c r="B103" i="14"/>
  <c r="B134" i="14"/>
  <c r="B167" i="14"/>
  <c r="B94" i="14"/>
  <c r="B126" i="14"/>
  <c r="B159" i="14"/>
  <c r="B172" i="14"/>
  <c r="B87" i="14"/>
  <c r="B120" i="14"/>
  <c r="B150" i="14"/>
  <c r="B163" i="14"/>
  <c r="B104" i="14"/>
  <c r="B136" i="14"/>
  <c r="B173" i="14"/>
  <c r="B105" i="14"/>
  <c r="B137" i="14"/>
  <c r="B165" i="14"/>
  <c r="B98" i="14"/>
  <c r="B130" i="14"/>
  <c r="B162" i="14"/>
  <c r="B99" i="14"/>
  <c r="B132" i="14"/>
  <c r="B108" i="14"/>
  <c r="B142" i="14"/>
  <c r="B78" i="14"/>
  <c r="B109" i="14"/>
  <c r="B140" i="14"/>
  <c r="B171" i="14"/>
  <c r="B102" i="14"/>
  <c r="B133" i="14"/>
  <c r="B74" i="14"/>
  <c r="D74" i="14" s="1"/>
  <c r="G102" i="2"/>
  <c r="G110" i="2"/>
  <c r="G133" i="2"/>
  <c r="G80" i="2"/>
  <c r="G171" i="2"/>
  <c r="G74" i="2"/>
  <c r="G140" i="2"/>
  <c r="G169" i="2"/>
  <c r="G109" i="2"/>
  <c r="G159" i="2"/>
  <c r="G167" i="2"/>
  <c r="G94" i="2"/>
  <c r="G107" i="2"/>
  <c r="G139" i="2"/>
  <c r="G157" i="2"/>
  <c r="G134" i="2"/>
  <c r="G118" i="2"/>
  <c r="G123" i="2"/>
  <c r="G126" i="2"/>
  <c r="G103" i="2"/>
  <c r="G83" i="2"/>
  <c r="G124" i="2"/>
  <c r="G92" i="2"/>
  <c r="G151" i="2"/>
  <c r="G156" i="2"/>
  <c r="G116" i="2"/>
  <c r="G131" i="2"/>
  <c r="G100" i="2"/>
  <c r="G130" i="2"/>
  <c r="G153" i="2"/>
  <c r="G154" i="2"/>
  <c r="G144" i="2"/>
  <c r="G97" i="2"/>
  <c r="G161" i="2"/>
  <c r="G149" i="2"/>
  <c r="G117" i="2"/>
  <c r="G76" i="2"/>
  <c r="G86" i="2"/>
  <c r="G148" i="2"/>
  <c r="G141" i="2"/>
  <c r="G138" i="2"/>
  <c r="G81" i="2"/>
  <c r="G108" i="2"/>
  <c r="G142" i="2"/>
  <c r="G163" i="2"/>
  <c r="G104" i="2"/>
  <c r="G99" i="2"/>
  <c r="G132" i="2"/>
  <c r="G85" i="2"/>
  <c r="G78" i="2"/>
  <c r="G111" i="2"/>
  <c r="G84" i="2"/>
  <c r="G115" i="2"/>
  <c r="G82" i="2"/>
  <c r="G127" i="2"/>
  <c r="G166" i="2"/>
  <c r="G96" i="2"/>
  <c r="G155" i="2"/>
  <c r="G112" i="2"/>
  <c r="G75" i="2"/>
  <c r="G146" i="2"/>
  <c r="G93" i="2"/>
  <c r="G101" i="2"/>
  <c r="G158" i="2"/>
  <c r="G128" i="2"/>
  <c r="G129" i="2"/>
  <c r="G165" i="2"/>
  <c r="G89" i="2"/>
  <c r="G95" i="2"/>
  <c r="G147" i="2"/>
  <c r="G164" i="2"/>
  <c r="G91" i="2"/>
  <c r="G120" i="2"/>
  <c r="G121" i="2"/>
  <c r="G162" i="2"/>
  <c r="G137" i="2"/>
  <c r="G98" i="2"/>
  <c r="G125" i="2"/>
  <c r="G87" i="2"/>
  <c r="G114" i="2"/>
  <c r="G160" i="2"/>
  <c r="G88" i="2"/>
  <c r="G106" i="2"/>
  <c r="G143" i="2"/>
  <c r="G79" i="2"/>
  <c r="G136" i="2"/>
  <c r="G150" i="2"/>
  <c r="G145" i="2"/>
  <c r="G113" i="2"/>
  <c r="G173" i="2"/>
  <c r="G122" i="2"/>
  <c r="G77" i="2"/>
  <c r="G135" i="2"/>
  <c r="G90" i="2"/>
  <c r="G119" i="2"/>
  <c r="G152" i="2"/>
  <c r="G105" i="2"/>
  <c r="M23" i="2"/>
  <c r="M25" i="2"/>
  <c r="M21" i="2"/>
  <c r="A167" i="1"/>
  <c r="B136" i="17" l="1"/>
  <c r="D136" i="17" s="1"/>
  <c r="H163" i="2"/>
  <c r="D126" i="16"/>
  <c r="G126" i="16" s="1"/>
  <c r="D103" i="16"/>
  <c r="F103" i="16" s="1"/>
  <c r="I103" i="16" s="1"/>
  <c r="H103" i="16" s="1"/>
  <c r="D114" i="16"/>
  <c r="F114" i="16" s="1"/>
  <c r="I114" i="16" s="1"/>
  <c r="H114" i="16" s="1"/>
  <c r="B131" i="17"/>
  <c r="D131" i="17" s="1"/>
  <c r="F131" i="17" s="1"/>
  <c r="I131" i="17" s="1"/>
  <c r="H131" i="17" s="1"/>
  <c r="F136" i="16"/>
  <c r="I136" i="16" s="1"/>
  <c r="H136" i="16" s="1"/>
  <c r="F105" i="17"/>
  <c r="I105" i="17" s="1"/>
  <c r="D78" i="16"/>
  <c r="G78" i="16" s="1"/>
  <c r="B130" i="17"/>
  <c r="D130" i="17" s="1"/>
  <c r="D101" i="16"/>
  <c r="G101" i="16" s="1"/>
  <c r="D75" i="16"/>
  <c r="F75" i="16" s="1"/>
  <c r="I75" i="16" s="1"/>
  <c r="H75" i="16" s="1"/>
  <c r="B89" i="17"/>
  <c r="D89" i="17" s="1"/>
  <c r="B132" i="17"/>
  <c r="D132" i="17" s="1"/>
  <c r="B121" i="17"/>
  <c r="D121" i="17" s="1"/>
  <c r="D87" i="16"/>
  <c r="G87" i="16" s="1"/>
  <c r="B125" i="17"/>
  <c r="D125" i="17" s="1"/>
  <c r="B134" i="17"/>
  <c r="D134" i="17" s="1"/>
  <c r="B133" i="17"/>
  <c r="D133" i="17" s="1"/>
  <c r="B104" i="17"/>
  <c r="D104" i="17" s="1"/>
  <c r="D84" i="16"/>
  <c r="F84" i="16" s="1"/>
  <c r="I84" i="16" s="1"/>
  <c r="H84" i="16" s="1"/>
  <c r="B137" i="17"/>
  <c r="D137" i="17" s="1"/>
  <c r="B102" i="17"/>
  <c r="D102" i="17" s="1"/>
  <c r="B100" i="17"/>
  <c r="D100" i="17" s="1"/>
  <c r="B129" i="17"/>
  <c r="D129" i="17" s="1"/>
  <c r="B120" i="17"/>
  <c r="D120" i="17" s="1"/>
  <c r="B111" i="17"/>
  <c r="D111" i="17" s="1"/>
  <c r="D83" i="16"/>
  <c r="F83" i="16" s="1"/>
  <c r="I83" i="16" s="1"/>
  <c r="H83" i="16" s="1"/>
  <c r="B90" i="17"/>
  <c r="D90" i="17" s="1"/>
  <c r="B127" i="17"/>
  <c r="D127" i="17" s="1"/>
  <c r="B112" i="17"/>
  <c r="D112" i="17" s="1"/>
  <c r="B109" i="17"/>
  <c r="D109" i="17" s="1"/>
  <c r="B99" i="17"/>
  <c r="D99" i="17" s="1"/>
  <c r="B96" i="17"/>
  <c r="D96" i="17" s="1"/>
  <c r="D105" i="16"/>
  <c r="B94" i="17"/>
  <c r="D94" i="17" s="1"/>
  <c r="D91" i="16"/>
  <c r="F91" i="16" s="1"/>
  <c r="I91" i="16" s="1"/>
  <c r="D88" i="16"/>
  <c r="G88" i="16" s="1"/>
  <c r="D93" i="16"/>
  <c r="G93" i="16" s="1"/>
  <c r="B139" i="17"/>
  <c r="D139" i="17" s="1"/>
  <c r="B108" i="17"/>
  <c r="D108" i="17" s="1"/>
  <c r="B77" i="17"/>
  <c r="D77" i="17" s="1"/>
  <c r="B76" i="17"/>
  <c r="D76" i="17" s="1"/>
  <c r="G170" i="16"/>
  <c r="B117" i="17"/>
  <c r="D117" i="17" s="1"/>
  <c r="D106" i="16"/>
  <c r="F106" i="16" s="1"/>
  <c r="I106" i="16" s="1"/>
  <c r="H106" i="16" s="1"/>
  <c r="D110" i="16"/>
  <c r="G110" i="16" s="1"/>
  <c r="B81" i="17"/>
  <c r="D81" i="17" s="1"/>
  <c r="F146" i="16"/>
  <c r="I146" i="16" s="1"/>
  <c r="H146" i="16" s="1"/>
  <c r="F149" i="16"/>
  <c r="I149" i="16" s="1"/>
  <c r="H149" i="16" s="1"/>
  <c r="D135" i="16"/>
  <c r="B107" i="17"/>
  <c r="D107" i="17" s="1"/>
  <c r="B79" i="17"/>
  <c r="D79" i="17" s="1"/>
  <c r="D80" i="16"/>
  <c r="D82" i="16"/>
  <c r="D116" i="16"/>
  <c r="F116" i="16" s="1"/>
  <c r="I116" i="16" s="1"/>
  <c r="H116" i="16" s="1"/>
  <c r="G105" i="17"/>
  <c r="B123" i="17"/>
  <c r="D123" i="17" s="1"/>
  <c r="D119" i="16"/>
  <c r="F119" i="16" s="1"/>
  <c r="I119" i="16" s="1"/>
  <c r="H119" i="16" s="1"/>
  <c r="B124" i="17"/>
  <c r="D124" i="17" s="1"/>
  <c r="B122" i="17"/>
  <c r="D122" i="17" s="1"/>
  <c r="B140" i="17"/>
  <c r="D140" i="17" s="1"/>
  <c r="B95" i="17"/>
  <c r="D95" i="17" s="1"/>
  <c r="B85" i="17"/>
  <c r="D85" i="17" s="1"/>
  <c r="B113" i="17"/>
  <c r="D113" i="17" s="1"/>
  <c r="B74" i="17"/>
  <c r="D74" i="17" s="1"/>
  <c r="B97" i="17"/>
  <c r="D97" i="17" s="1"/>
  <c r="B98" i="17"/>
  <c r="D98" i="17" s="1"/>
  <c r="B92" i="17"/>
  <c r="D92" i="17" s="1"/>
  <c r="B128" i="17"/>
  <c r="D128" i="17" s="1"/>
  <c r="B138" i="17"/>
  <c r="D138" i="17" s="1"/>
  <c r="B118" i="17"/>
  <c r="D118" i="17" s="1"/>
  <c r="B141" i="17"/>
  <c r="D141" i="17" s="1"/>
  <c r="B86" i="17"/>
  <c r="D86" i="17" s="1"/>
  <c r="F115" i="16"/>
  <c r="I115" i="16" s="1"/>
  <c r="H115" i="16" s="1"/>
  <c r="G115" i="16"/>
  <c r="B115" i="17"/>
  <c r="D115" i="17" s="1"/>
  <c r="G144" i="16"/>
  <c r="F144" i="16"/>
  <c r="I144" i="16" s="1"/>
  <c r="H144" i="16" s="1"/>
  <c r="G148" i="16"/>
  <c r="G122" i="16"/>
  <c r="G120" i="16"/>
  <c r="F113" i="16"/>
  <c r="I113" i="16" s="1"/>
  <c r="H113" i="16" s="1"/>
  <c r="G124" i="16"/>
  <c r="F156" i="16"/>
  <c r="I156" i="16" s="1"/>
  <c r="H156" i="16" s="1"/>
  <c r="F147" i="16"/>
  <c r="I147" i="16" s="1"/>
  <c r="H147" i="16" s="1"/>
  <c r="F127" i="16"/>
  <c r="I127" i="16" s="1"/>
  <c r="H127" i="16" s="1"/>
  <c r="F164" i="16"/>
  <c r="I164" i="16" s="1"/>
  <c r="H164" i="16" s="1"/>
  <c r="G147" i="16"/>
  <c r="G95" i="16"/>
  <c r="G137" i="16"/>
  <c r="G127" i="16"/>
  <c r="I12" i="2"/>
  <c r="I17" i="2"/>
  <c r="K20" i="2"/>
  <c r="E23" i="2"/>
  <c r="E12" i="2"/>
  <c r="G16" i="2"/>
  <c r="M13" i="2"/>
  <c r="G25" i="2"/>
  <c r="E26" i="2"/>
  <c r="G26" i="2"/>
  <c r="M17" i="2"/>
  <c r="G19" i="2"/>
  <c r="M11" i="2"/>
  <c r="I13" i="2"/>
  <c r="K16" i="2"/>
  <c r="M9" i="2"/>
  <c r="K8" i="2"/>
  <c r="E9" i="2"/>
  <c r="I7" i="2"/>
  <c r="E17" i="2"/>
  <c r="I16" i="2"/>
  <c r="G14" i="2"/>
  <c r="G8" i="2"/>
  <c r="G21" i="2"/>
  <c r="M12" i="2"/>
  <c r="G13" i="2"/>
  <c r="E10" i="2"/>
  <c r="K26" i="2"/>
  <c r="K24" i="2"/>
  <c r="E24" i="2"/>
  <c r="I15" i="2"/>
  <c r="K14" i="2"/>
  <c r="E18" i="2"/>
  <c r="G24" i="2"/>
  <c r="G9" i="2"/>
  <c r="E8" i="2"/>
  <c r="I11" i="2"/>
  <c r="E21" i="2"/>
  <c r="K12" i="2"/>
  <c r="E15" i="2"/>
  <c r="M19" i="2"/>
  <c r="E14" i="2"/>
  <c r="M16" i="2"/>
  <c r="E16" i="2"/>
  <c r="I9" i="2"/>
  <c r="K25" i="2"/>
  <c r="M24" i="2"/>
  <c r="M15" i="2"/>
  <c r="G17" i="2"/>
  <c r="I21" i="2"/>
  <c r="G163" i="16"/>
  <c r="F162" i="16"/>
  <c r="I162" i="16" s="1"/>
  <c r="H162" i="16" s="1"/>
  <c r="G161" i="16"/>
  <c r="G85" i="16"/>
  <c r="F166" i="16"/>
  <c r="I166" i="16" s="1"/>
  <c r="H166" i="16" s="1"/>
  <c r="G108" i="16"/>
  <c r="F154" i="16"/>
  <c r="I154" i="16" s="1"/>
  <c r="H154" i="16" s="1"/>
  <c r="G121" i="16"/>
  <c r="G153" i="16"/>
  <c r="G79" i="16"/>
  <c r="F158" i="16"/>
  <c r="I158" i="16" s="1"/>
  <c r="H158" i="16" s="1"/>
  <c r="F169" i="16"/>
  <c r="I169" i="16" s="1"/>
  <c r="H169" i="16" s="1"/>
  <c r="G131" i="16"/>
  <c r="G100" i="16"/>
  <c r="F142" i="16"/>
  <c r="I142" i="16" s="1"/>
  <c r="H142" i="16" s="1"/>
  <c r="G154" i="16"/>
  <c r="G112" i="16"/>
  <c r="F165" i="16"/>
  <c r="I165" i="16" s="1"/>
  <c r="H165" i="16" s="1"/>
  <c r="F145" i="16"/>
  <c r="I145" i="16" s="1"/>
  <c r="H145" i="16" s="1"/>
  <c r="F129" i="16"/>
  <c r="I129" i="16" s="1"/>
  <c r="H129" i="16" s="1"/>
  <c r="F76" i="16"/>
  <c r="I76" i="16" s="1"/>
  <c r="H76" i="16" s="1"/>
  <c r="G99" i="16"/>
  <c r="G129" i="16"/>
  <c r="G134" i="16"/>
  <c r="G145" i="16"/>
  <c r="F159" i="16"/>
  <c r="I159" i="16" s="1"/>
  <c r="H159" i="16" s="1"/>
  <c r="F118" i="16"/>
  <c r="I118" i="16" s="1"/>
  <c r="H118" i="16" s="1"/>
  <c r="G107" i="16"/>
  <c r="F104" i="16"/>
  <c r="I104" i="16" s="1"/>
  <c r="H104" i="16" s="1"/>
  <c r="G159" i="16"/>
  <c r="F150" i="16"/>
  <c r="I150" i="16" s="1"/>
  <c r="H150" i="16" s="1"/>
  <c r="F170" i="16"/>
  <c r="I170" i="16" s="1"/>
  <c r="H170" i="16" s="1"/>
  <c r="G171" i="16"/>
  <c r="G77" i="16"/>
  <c r="F130" i="16"/>
  <c r="I130" i="16" s="1"/>
  <c r="H130" i="16" s="1"/>
  <c r="F132" i="16"/>
  <c r="I132" i="16" s="1"/>
  <c r="H132" i="16" s="1"/>
  <c r="G132" i="16"/>
  <c r="G113" i="16"/>
  <c r="G86" i="16"/>
  <c r="G92" i="16"/>
  <c r="G138" i="16"/>
  <c r="F86" i="16"/>
  <c r="I86" i="16" s="1"/>
  <c r="F151" i="16"/>
  <c r="I151" i="16" s="1"/>
  <c r="H151" i="16" s="1"/>
  <c r="G167" i="16"/>
  <c r="G151" i="16"/>
  <c r="G143" i="16"/>
  <c r="F172" i="16"/>
  <c r="I172" i="16" s="1"/>
  <c r="H172" i="16" s="1"/>
  <c r="G98" i="16"/>
  <c r="G125" i="16"/>
  <c r="G102" i="16"/>
  <c r="G89" i="16"/>
  <c r="G128" i="16"/>
  <c r="F128" i="16"/>
  <c r="I128" i="16" s="1"/>
  <c r="H128" i="16" s="1"/>
  <c r="G74" i="16"/>
  <c r="G130" i="16"/>
  <c r="F109" i="16"/>
  <c r="I109" i="16" s="1"/>
  <c r="H109" i="16" s="1"/>
  <c r="F157" i="16"/>
  <c r="I157" i="16" s="1"/>
  <c r="H157" i="16" s="1"/>
  <c r="F81" i="16"/>
  <c r="I81" i="16" s="1"/>
  <c r="H81" i="16" s="1"/>
  <c r="G173" i="16"/>
  <c r="G81" i="16"/>
  <c r="G117" i="16"/>
  <c r="F96" i="16"/>
  <c r="I96" i="16" s="1"/>
  <c r="F111" i="16"/>
  <c r="I111" i="16" s="1"/>
  <c r="H111" i="16" s="1"/>
  <c r="G133" i="16"/>
  <c r="G123" i="16"/>
  <c r="G111" i="16"/>
  <c r="G139" i="16"/>
  <c r="F97" i="16"/>
  <c r="I97" i="16" s="1"/>
  <c r="H97" i="16" s="1"/>
  <c r="G169" i="16"/>
  <c r="G97" i="16"/>
  <c r="F94" i="16"/>
  <c r="I94" i="16" s="1"/>
  <c r="H94" i="16" s="1"/>
  <c r="G155" i="16"/>
  <c r="F173" i="17"/>
  <c r="I173" i="17" s="1"/>
  <c r="H173" i="17" s="1"/>
  <c r="G173" i="17"/>
  <c r="F101" i="17"/>
  <c r="I101" i="17" s="1"/>
  <c r="H101" i="17" s="1"/>
  <c r="G101" i="17"/>
  <c r="F87" i="17"/>
  <c r="I87" i="17" s="1"/>
  <c r="H87" i="17" s="1"/>
  <c r="G87" i="17"/>
  <c r="F169" i="17"/>
  <c r="I169" i="17" s="1"/>
  <c r="H169" i="17" s="1"/>
  <c r="G169" i="17"/>
  <c r="F153" i="17"/>
  <c r="I153" i="17" s="1"/>
  <c r="H153" i="17" s="1"/>
  <c r="G153" i="17"/>
  <c r="F155" i="17"/>
  <c r="I155" i="17" s="1"/>
  <c r="H155" i="17" s="1"/>
  <c r="G155" i="17"/>
  <c r="G135" i="17"/>
  <c r="F158" i="17"/>
  <c r="I158" i="17" s="1"/>
  <c r="H158" i="17" s="1"/>
  <c r="G158" i="17"/>
  <c r="F157" i="17"/>
  <c r="I157" i="17" s="1"/>
  <c r="H157" i="17" s="1"/>
  <c r="G157" i="17"/>
  <c r="F152" i="17"/>
  <c r="I152" i="17" s="1"/>
  <c r="H152" i="17" s="1"/>
  <c r="G152" i="17"/>
  <c r="F136" i="17"/>
  <c r="I136" i="17" s="1"/>
  <c r="H136" i="17" s="1"/>
  <c r="G136" i="17"/>
  <c r="F172" i="17"/>
  <c r="I172" i="17" s="1"/>
  <c r="H172" i="17" s="1"/>
  <c r="G172" i="17"/>
  <c r="F167" i="17"/>
  <c r="I167" i="17" s="1"/>
  <c r="H167" i="17" s="1"/>
  <c r="G167" i="17"/>
  <c r="F143" i="17"/>
  <c r="I143" i="17" s="1"/>
  <c r="H143" i="17" s="1"/>
  <c r="G143" i="17"/>
  <c r="F88" i="17"/>
  <c r="I88" i="17" s="1"/>
  <c r="H88" i="17" s="1"/>
  <c r="G88" i="17"/>
  <c r="F151" i="17"/>
  <c r="I151" i="17" s="1"/>
  <c r="H151" i="17" s="1"/>
  <c r="G151" i="17"/>
  <c r="G91" i="17"/>
  <c r="F91" i="17"/>
  <c r="I91" i="17" s="1"/>
  <c r="F110" i="17"/>
  <c r="I110" i="17" s="1"/>
  <c r="H110" i="17" s="1"/>
  <c r="G110" i="17"/>
  <c r="F106" i="17"/>
  <c r="I106" i="17" s="1"/>
  <c r="H106" i="17" s="1"/>
  <c r="G106" i="17"/>
  <c r="F171" i="17"/>
  <c r="I171" i="17" s="1"/>
  <c r="H171" i="17" s="1"/>
  <c r="G171" i="17"/>
  <c r="F142" i="17"/>
  <c r="I142" i="17" s="1"/>
  <c r="H142" i="17" s="1"/>
  <c r="G142" i="17"/>
  <c r="F165" i="17"/>
  <c r="I165" i="17" s="1"/>
  <c r="H165" i="17" s="1"/>
  <c r="G165" i="17"/>
  <c r="F160" i="17"/>
  <c r="I160" i="17" s="1"/>
  <c r="H160" i="17" s="1"/>
  <c r="G160" i="17"/>
  <c r="F159" i="17"/>
  <c r="I159" i="17" s="1"/>
  <c r="H159" i="17" s="1"/>
  <c r="G159" i="17"/>
  <c r="F154" i="17"/>
  <c r="I154" i="17" s="1"/>
  <c r="H154" i="17" s="1"/>
  <c r="G154" i="17"/>
  <c r="F150" i="17"/>
  <c r="I150" i="17" s="1"/>
  <c r="H150" i="17" s="1"/>
  <c r="G150" i="17"/>
  <c r="F119" i="17"/>
  <c r="I119" i="17" s="1"/>
  <c r="H119" i="17" s="1"/>
  <c r="G119" i="17"/>
  <c r="F93" i="17"/>
  <c r="I93" i="17" s="1"/>
  <c r="H93" i="17" s="1"/>
  <c r="G93" i="17"/>
  <c r="F146" i="17"/>
  <c r="I146" i="17" s="1"/>
  <c r="H146" i="17" s="1"/>
  <c r="G146" i="17"/>
  <c r="F84" i="17"/>
  <c r="I84" i="17" s="1"/>
  <c r="H84" i="17" s="1"/>
  <c r="G84" i="17"/>
  <c r="F170" i="17"/>
  <c r="I170" i="17" s="1"/>
  <c r="H170" i="17" s="1"/>
  <c r="G170" i="17"/>
  <c r="F80" i="17"/>
  <c r="I80" i="17" s="1"/>
  <c r="H80" i="17" s="1"/>
  <c r="G80" i="17"/>
  <c r="F149" i="17"/>
  <c r="I149" i="17" s="1"/>
  <c r="H149" i="17" s="1"/>
  <c r="G149" i="17"/>
  <c r="F145" i="17"/>
  <c r="I145" i="17" s="1"/>
  <c r="H145" i="17" s="1"/>
  <c r="G145" i="17"/>
  <c r="F162" i="17"/>
  <c r="I162" i="17" s="1"/>
  <c r="H162" i="17" s="1"/>
  <c r="G162" i="17"/>
  <c r="F163" i="17"/>
  <c r="I163" i="17" s="1"/>
  <c r="H163" i="17" s="1"/>
  <c r="G163" i="17"/>
  <c r="F161" i="17"/>
  <c r="I161" i="17" s="1"/>
  <c r="H161" i="17" s="1"/>
  <c r="G161" i="17"/>
  <c r="F114" i="17"/>
  <c r="I114" i="17" s="1"/>
  <c r="H114" i="17" s="1"/>
  <c r="G114" i="17"/>
  <c r="F126" i="17"/>
  <c r="I126" i="17" s="1"/>
  <c r="H126" i="17" s="1"/>
  <c r="G126" i="17"/>
  <c r="F103" i="17"/>
  <c r="I103" i="17" s="1"/>
  <c r="H103" i="17" s="1"/>
  <c r="G103" i="17"/>
  <c r="F166" i="17"/>
  <c r="I166" i="17" s="1"/>
  <c r="H166" i="17" s="1"/>
  <c r="G166" i="17"/>
  <c r="F147" i="17"/>
  <c r="I147" i="17" s="1"/>
  <c r="H147" i="17" s="1"/>
  <c r="G147" i="17"/>
  <c r="F164" i="17"/>
  <c r="I164" i="17" s="1"/>
  <c r="H164" i="17" s="1"/>
  <c r="G164" i="17"/>
  <c r="F82" i="17"/>
  <c r="I82" i="17" s="1"/>
  <c r="H82" i="17" s="1"/>
  <c r="G82" i="17"/>
  <c r="F83" i="17"/>
  <c r="I83" i="17" s="1"/>
  <c r="H83" i="17" s="1"/>
  <c r="G83" i="17"/>
  <c r="F156" i="17"/>
  <c r="I156" i="17" s="1"/>
  <c r="H156" i="17" s="1"/>
  <c r="G156" i="17"/>
  <c r="F116" i="17"/>
  <c r="I116" i="17" s="1"/>
  <c r="H116" i="17" s="1"/>
  <c r="G116" i="17"/>
  <c r="F144" i="17"/>
  <c r="I144" i="17" s="1"/>
  <c r="H144" i="17" s="1"/>
  <c r="G144" i="17"/>
  <c r="F168" i="17"/>
  <c r="I168" i="17" s="1"/>
  <c r="H168" i="17" s="1"/>
  <c r="G168" i="17"/>
  <c r="F148" i="17"/>
  <c r="I148" i="17" s="1"/>
  <c r="H148" i="17" s="1"/>
  <c r="G148" i="17"/>
  <c r="F78" i="17"/>
  <c r="I78" i="17" s="1"/>
  <c r="H78" i="17" s="1"/>
  <c r="G78" i="17"/>
  <c r="F75" i="17"/>
  <c r="I75" i="17" s="1"/>
  <c r="H75" i="17" s="1"/>
  <c r="G75" i="17"/>
  <c r="G140" i="16"/>
  <c r="G168" i="16"/>
  <c r="F90" i="16"/>
  <c r="I90" i="16" s="1"/>
  <c r="H90" i="16" s="1"/>
  <c r="F160" i="16"/>
  <c r="I160" i="16" s="1"/>
  <c r="H160" i="16" s="1"/>
  <c r="F168" i="16"/>
  <c r="I168" i="16" s="1"/>
  <c r="H168" i="16" s="1"/>
  <c r="F152" i="16"/>
  <c r="I152" i="16" s="1"/>
  <c r="H152" i="16" s="1"/>
  <c r="F140" i="16"/>
  <c r="I140" i="16" s="1"/>
  <c r="H140" i="16" s="1"/>
  <c r="G152" i="16"/>
  <c r="G90" i="16"/>
  <c r="F74" i="14"/>
  <c r="I74" i="14" s="1"/>
  <c r="H74" i="14" s="1"/>
  <c r="K10" i="2"/>
  <c r="E19" i="2"/>
  <c r="M7" i="2"/>
  <c r="K23" i="2"/>
  <c r="A168" i="1"/>
  <c r="G16" i="16" l="1"/>
  <c r="K22" i="16"/>
  <c r="G7" i="16"/>
  <c r="I8" i="16"/>
  <c r="J8" i="16" s="1"/>
  <c r="I7" i="16"/>
  <c r="J7" i="16" s="1"/>
  <c r="H108" i="2"/>
  <c r="H144" i="2"/>
  <c r="H147" i="2"/>
  <c r="H97" i="2"/>
  <c r="H157" i="2"/>
  <c r="H127" i="2"/>
  <c r="H114" i="2"/>
  <c r="H83" i="2"/>
  <c r="H76" i="2"/>
  <c r="H116" i="2"/>
  <c r="H152" i="2"/>
  <c r="H159" i="2"/>
  <c r="H121" i="2"/>
  <c r="H165" i="2"/>
  <c r="H167" i="2"/>
  <c r="H138" i="2"/>
  <c r="H112" i="2"/>
  <c r="H134" i="2"/>
  <c r="H80" i="2"/>
  <c r="H120" i="2"/>
  <c r="H156" i="2"/>
  <c r="H171" i="2"/>
  <c r="H125" i="2"/>
  <c r="H169" i="2"/>
  <c r="H142" i="2"/>
  <c r="H148" i="2"/>
  <c r="H155" i="2"/>
  <c r="H101" i="2"/>
  <c r="H151" i="2"/>
  <c r="H84" i="2"/>
  <c r="H124" i="2"/>
  <c r="H160" i="2"/>
  <c r="H77" i="2"/>
  <c r="H129" i="2"/>
  <c r="H107" i="2"/>
  <c r="H78" i="2"/>
  <c r="H146" i="2"/>
  <c r="H161" i="2"/>
  <c r="H88" i="2"/>
  <c r="H128" i="2"/>
  <c r="H164" i="2"/>
  <c r="H85" i="2"/>
  <c r="H133" i="2"/>
  <c r="H111" i="2"/>
  <c r="H102" i="2"/>
  <c r="H166" i="2"/>
  <c r="H92" i="2"/>
  <c r="H132" i="2"/>
  <c r="H172" i="2"/>
  <c r="H89" i="2"/>
  <c r="H137" i="2"/>
  <c r="H115" i="2"/>
  <c r="H106" i="2"/>
  <c r="H170" i="2"/>
  <c r="H100" i="2"/>
  <c r="H140" i="2"/>
  <c r="H75" i="2"/>
  <c r="H93" i="2"/>
  <c r="H153" i="2"/>
  <c r="H123" i="2"/>
  <c r="H110" i="2"/>
  <c r="H79" i="2"/>
  <c r="H82" i="2"/>
  <c r="H118" i="2"/>
  <c r="H150" i="2"/>
  <c r="H87" i="2"/>
  <c r="H109" i="2"/>
  <c r="H141" i="2"/>
  <c r="H173" i="2"/>
  <c r="H131" i="2"/>
  <c r="H90" i="2"/>
  <c r="H122" i="2"/>
  <c r="H154" i="2"/>
  <c r="H103" i="2"/>
  <c r="H113" i="2"/>
  <c r="H145" i="2"/>
  <c r="H95" i="2"/>
  <c r="H135" i="2"/>
  <c r="H94" i="2"/>
  <c r="H126" i="2"/>
  <c r="H158" i="2"/>
  <c r="H119" i="2"/>
  <c r="H104" i="2"/>
  <c r="H136" i="2"/>
  <c r="H168" i="2"/>
  <c r="H81" i="2"/>
  <c r="H117" i="2"/>
  <c r="H149" i="2"/>
  <c r="H99" i="2"/>
  <c r="H143" i="2"/>
  <c r="H98" i="2"/>
  <c r="H130" i="2"/>
  <c r="H162" i="2"/>
  <c r="M26" i="16"/>
  <c r="G131" i="17"/>
  <c r="F126" i="16"/>
  <c r="I126" i="16" s="1"/>
  <c r="H126" i="16" s="1"/>
  <c r="L74" i="17"/>
  <c r="L75" i="17" s="1"/>
  <c r="L76" i="17" s="1"/>
  <c r="L77" i="17" s="1"/>
  <c r="L78" i="17" s="1"/>
  <c r="L79" i="17" s="1"/>
  <c r="L80" i="17" s="1"/>
  <c r="L81" i="17" s="1"/>
  <c r="L82" i="17" s="1"/>
  <c r="L83" i="17" s="1"/>
  <c r="L84" i="17" s="1"/>
  <c r="L85" i="17" s="1"/>
  <c r="L86" i="17" s="1"/>
  <c r="L87" i="17" s="1"/>
  <c r="L88" i="17" s="1"/>
  <c r="L89" i="17" s="1"/>
  <c r="L90" i="17" s="1"/>
  <c r="L91" i="17" s="1"/>
  <c r="L92" i="17" s="1"/>
  <c r="L93" i="17" s="1"/>
  <c r="L94" i="17" s="1"/>
  <c r="L95" i="17" s="1"/>
  <c r="L96" i="17" s="1"/>
  <c r="L97" i="17" s="1"/>
  <c r="L98" i="17" s="1"/>
  <c r="L99" i="17" s="1"/>
  <c r="L100" i="17" s="1"/>
  <c r="F138" i="17"/>
  <c r="I138" i="17" s="1"/>
  <c r="H138" i="17" s="1"/>
  <c r="G130" i="17"/>
  <c r="G114" i="16"/>
  <c r="G103" i="16"/>
  <c r="G136" i="16"/>
  <c r="F130" i="17"/>
  <c r="I130" i="17" s="1"/>
  <c r="H130" i="17" s="1"/>
  <c r="G75" i="16"/>
  <c r="F101" i="16"/>
  <c r="I101" i="16" s="1"/>
  <c r="H101" i="16" s="1"/>
  <c r="F78" i="16"/>
  <c r="I78" i="16" s="1"/>
  <c r="H78" i="16" s="1"/>
  <c r="F89" i="17"/>
  <c r="I89" i="17" s="1"/>
  <c r="H89" i="17" s="1"/>
  <c r="F132" i="17"/>
  <c r="I132" i="17" s="1"/>
  <c r="H132" i="17" s="1"/>
  <c r="F121" i="17"/>
  <c r="I121" i="17" s="1"/>
  <c r="H121" i="17" s="1"/>
  <c r="F117" i="17"/>
  <c r="I117" i="17" s="1"/>
  <c r="H117" i="17" s="1"/>
  <c r="G89" i="17"/>
  <c r="F112" i="17"/>
  <c r="I112" i="17" s="1"/>
  <c r="H112" i="17" s="1"/>
  <c r="G132" i="17"/>
  <c r="G95" i="17"/>
  <c r="G97" i="17"/>
  <c r="F111" i="17"/>
  <c r="I111" i="17" s="1"/>
  <c r="H111" i="17" s="1"/>
  <c r="G133" i="17"/>
  <c r="G86" i="17"/>
  <c r="F123" i="17"/>
  <c r="I123" i="17" s="1"/>
  <c r="H123" i="17" s="1"/>
  <c r="G96" i="17"/>
  <c r="F120" i="17"/>
  <c r="I120" i="17" s="1"/>
  <c r="H120" i="17" s="1"/>
  <c r="F134" i="17"/>
  <c r="I134" i="17" s="1"/>
  <c r="H134" i="17" s="1"/>
  <c r="F141" i="17"/>
  <c r="I141" i="17" s="1"/>
  <c r="H141" i="17" s="1"/>
  <c r="F113" i="17"/>
  <c r="I113" i="17" s="1"/>
  <c r="H113" i="17" s="1"/>
  <c r="F108" i="17"/>
  <c r="I108" i="17" s="1"/>
  <c r="H108" i="17" s="1"/>
  <c r="F99" i="17"/>
  <c r="I99" i="17" s="1"/>
  <c r="H99" i="17" s="1"/>
  <c r="F129" i="17"/>
  <c r="I129" i="17" s="1"/>
  <c r="H129" i="17" s="1"/>
  <c r="F125" i="17"/>
  <c r="I125" i="17" s="1"/>
  <c r="H125" i="17" s="1"/>
  <c r="F118" i="17"/>
  <c r="I118" i="17" s="1"/>
  <c r="H118" i="17" s="1"/>
  <c r="G85" i="17"/>
  <c r="F81" i="17"/>
  <c r="I81" i="17" s="1"/>
  <c r="H81" i="17" s="1"/>
  <c r="F139" i="17"/>
  <c r="I139" i="17" s="1"/>
  <c r="F109" i="17"/>
  <c r="I109" i="17" s="1"/>
  <c r="H109" i="17" s="1"/>
  <c r="G100" i="17"/>
  <c r="G138" i="17"/>
  <c r="F95" i="17"/>
  <c r="I95" i="17" s="1"/>
  <c r="H95" i="17" s="1"/>
  <c r="G112" i="17"/>
  <c r="F102" i="17"/>
  <c r="I102" i="17" s="1"/>
  <c r="H102" i="17" s="1"/>
  <c r="G121" i="17"/>
  <c r="F128" i="17"/>
  <c r="I128" i="17" s="1"/>
  <c r="H128" i="17" s="1"/>
  <c r="F140" i="17"/>
  <c r="I140" i="17" s="1"/>
  <c r="H140" i="17" s="1"/>
  <c r="F127" i="17"/>
  <c r="I127" i="17" s="1"/>
  <c r="H127" i="17" s="1"/>
  <c r="G137" i="17"/>
  <c r="G115" i="17"/>
  <c r="F92" i="17"/>
  <c r="I92" i="17" s="1"/>
  <c r="H92" i="17" s="1"/>
  <c r="F122" i="17"/>
  <c r="I122" i="17" s="1"/>
  <c r="H122" i="17" s="1"/>
  <c r="F79" i="17"/>
  <c r="I79" i="17" s="1"/>
  <c r="H79" i="17" s="1"/>
  <c r="G117" i="17"/>
  <c r="G90" i="17"/>
  <c r="G98" i="17"/>
  <c r="F124" i="17"/>
  <c r="I124" i="17" s="1"/>
  <c r="H124" i="17" s="1"/>
  <c r="F107" i="17"/>
  <c r="I107" i="17" s="1"/>
  <c r="H107" i="17" s="1"/>
  <c r="F94" i="17"/>
  <c r="I94" i="17" s="1"/>
  <c r="H94" i="17" s="1"/>
  <c r="G104" i="17"/>
  <c r="F76" i="17"/>
  <c r="I76" i="17" s="1"/>
  <c r="H76" i="17" s="1"/>
  <c r="F77" i="17"/>
  <c r="I77" i="17" s="1"/>
  <c r="H77" i="17" s="1"/>
  <c r="F74" i="17"/>
  <c r="I74" i="17" s="1"/>
  <c r="H74" i="17" s="1"/>
  <c r="G81" i="17"/>
  <c r="G109" i="17"/>
  <c r="F85" i="17"/>
  <c r="I85" i="17" s="1"/>
  <c r="H85" i="17" s="1"/>
  <c r="F100" i="17"/>
  <c r="I100" i="17" s="1"/>
  <c r="H100" i="17" s="1"/>
  <c r="F87" i="16"/>
  <c r="I87" i="16" s="1"/>
  <c r="H87" i="16" s="1"/>
  <c r="G139" i="17"/>
  <c r="F93" i="16"/>
  <c r="I93" i="16" s="1"/>
  <c r="H93" i="16" s="1"/>
  <c r="G102" i="17"/>
  <c r="F133" i="17"/>
  <c r="I133" i="17" s="1"/>
  <c r="H133" i="17" s="1"/>
  <c r="G108" i="17"/>
  <c r="G99" i="17"/>
  <c r="G125" i="17"/>
  <c r="G129" i="17"/>
  <c r="G120" i="17"/>
  <c r="G134" i="17"/>
  <c r="F98" i="17"/>
  <c r="I98" i="17" s="1"/>
  <c r="H98" i="17" s="1"/>
  <c r="F104" i="17"/>
  <c r="I104" i="17" s="1"/>
  <c r="H104" i="17" s="1"/>
  <c r="G84" i="16"/>
  <c r="F137" i="17"/>
  <c r="I137" i="17" s="1"/>
  <c r="H137" i="17" s="1"/>
  <c r="G127" i="17"/>
  <c r="F88" i="16"/>
  <c r="I88" i="16" s="1"/>
  <c r="H88" i="16" s="1"/>
  <c r="G123" i="17"/>
  <c r="F86" i="17"/>
  <c r="I86" i="17" s="1"/>
  <c r="G74" i="17"/>
  <c r="G105" i="16"/>
  <c r="F105" i="16"/>
  <c r="I105" i="16" s="1"/>
  <c r="G76" i="17"/>
  <c r="G111" i="17"/>
  <c r="F97" i="17"/>
  <c r="I97" i="17" s="1"/>
  <c r="H97" i="17" s="1"/>
  <c r="G83" i="16"/>
  <c r="G107" i="17"/>
  <c r="G124" i="17"/>
  <c r="G91" i="16"/>
  <c r="F90" i="17"/>
  <c r="I90" i="17" s="1"/>
  <c r="H90" i="17" s="1"/>
  <c r="G141" i="17"/>
  <c r="F96" i="17"/>
  <c r="I96" i="17" s="1"/>
  <c r="G77" i="17"/>
  <c r="G113" i="17"/>
  <c r="G135" i="16"/>
  <c r="G119" i="16"/>
  <c r="G94" i="17"/>
  <c r="F135" i="16"/>
  <c r="I135" i="16" s="1"/>
  <c r="H135" i="16" s="1"/>
  <c r="G79" i="17"/>
  <c r="F115" i="17"/>
  <c r="I115" i="17" s="1"/>
  <c r="H115" i="17" s="1"/>
  <c r="G140" i="17"/>
  <c r="G128" i="17"/>
  <c r="F110" i="16"/>
  <c r="I110" i="16" s="1"/>
  <c r="H110" i="16" s="1"/>
  <c r="G80" i="16"/>
  <c r="F80" i="16"/>
  <c r="I80" i="16" s="1"/>
  <c r="H80" i="16" s="1"/>
  <c r="G106" i="16"/>
  <c r="G82" i="16"/>
  <c r="G118" i="17"/>
  <c r="G122" i="17"/>
  <c r="G116" i="16"/>
  <c r="F82" i="16"/>
  <c r="I82" i="16" s="1"/>
  <c r="H82" i="16" s="1"/>
  <c r="G92" i="17"/>
  <c r="I24" i="2"/>
  <c r="I20" i="2"/>
  <c r="I18" i="2"/>
  <c r="M22" i="2"/>
  <c r="I23" i="2"/>
  <c r="G20" i="2"/>
  <c r="G22" i="2"/>
  <c r="M26" i="2"/>
  <c r="K13" i="2"/>
  <c r="E20" i="2"/>
  <c r="I14" i="2"/>
  <c r="I22" i="2"/>
  <c r="G15" i="2"/>
  <c r="G12" i="2"/>
  <c r="E11" i="2"/>
  <c r="I10" i="2"/>
  <c r="M14" i="2"/>
  <c r="G25" i="16"/>
  <c r="I12" i="16"/>
  <c r="J12" i="16" s="1"/>
  <c r="G11" i="2"/>
  <c r="K7" i="2"/>
  <c r="E22" i="2"/>
  <c r="G18" i="2"/>
  <c r="M20" i="2"/>
  <c r="G10" i="2"/>
  <c r="M18" i="2"/>
  <c r="I8" i="2"/>
  <c r="K21" i="2"/>
  <c r="K17" i="2"/>
  <c r="K22" i="2"/>
  <c r="I26" i="2"/>
  <c r="E25" i="2"/>
  <c r="K11" i="2"/>
  <c r="K9" i="2"/>
  <c r="I19" i="2"/>
  <c r="K18" i="2"/>
  <c r="G23" i="2"/>
  <c r="K15" i="2"/>
  <c r="E13" i="2"/>
  <c r="G7" i="2"/>
  <c r="K19" i="2"/>
  <c r="I25" i="2"/>
  <c r="M8" i="2"/>
  <c r="M10" i="2"/>
  <c r="I16" i="16"/>
  <c r="J16" i="16" s="1"/>
  <c r="K16" i="16"/>
  <c r="I14" i="16"/>
  <c r="J14" i="16" s="1"/>
  <c r="G8" i="16"/>
  <c r="K12" i="16"/>
  <c r="I26" i="16"/>
  <c r="J26" i="16" s="1"/>
  <c r="M8" i="16"/>
  <c r="I25" i="16"/>
  <c r="J25" i="16" s="1"/>
  <c r="G12" i="16"/>
  <c r="E24" i="16"/>
  <c r="G15" i="16"/>
  <c r="I17" i="16"/>
  <c r="J17" i="16" s="1"/>
  <c r="I13" i="16"/>
  <c r="J13" i="16" s="1"/>
  <c r="K11" i="16"/>
  <c r="G21" i="16"/>
  <c r="K17" i="16"/>
  <c r="I18" i="16"/>
  <c r="J18" i="16" s="1"/>
  <c r="M14" i="16"/>
  <c r="E22" i="16"/>
  <c r="I24" i="16"/>
  <c r="J24" i="16" s="1"/>
  <c r="M24" i="16"/>
  <c r="M20" i="16"/>
  <c r="E18" i="16"/>
  <c r="K10" i="16"/>
  <c r="K7" i="16"/>
  <c r="I10" i="16"/>
  <c r="J10" i="16" s="1"/>
  <c r="K21" i="16"/>
  <c r="M16" i="16"/>
  <c r="G20" i="16"/>
  <c r="E10" i="16"/>
  <c r="E25" i="16"/>
  <c r="K26" i="16"/>
  <c r="G26" i="16"/>
  <c r="G13" i="16"/>
  <c r="G11" i="16"/>
  <c r="I15" i="16"/>
  <c r="J15" i="16" s="1"/>
  <c r="E7" i="16"/>
  <c r="E12" i="16"/>
  <c r="A169" i="1"/>
  <c r="H176" i="17" l="1"/>
  <c r="S13" i="17" s="1"/>
  <c r="E12" i="24" s="1"/>
  <c r="G19" i="16"/>
  <c r="I9" i="16"/>
  <c r="J9" i="16" s="1"/>
  <c r="K19" i="16"/>
  <c r="M17" i="16"/>
  <c r="I20" i="16"/>
  <c r="J20" i="16" s="1"/>
  <c r="K20" i="16"/>
  <c r="E16" i="16"/>
  <c r="M132" i="17"/>
  <c r="N132" i="17" s="1"/>
  <c r="M9" i="16"/>
  <c r="E8" i="16"/>
  <c r="K9" i="16"/>
  <c r="M12" i="16"/>
  <c r="E7" i="17"/>
  <c r="F7" i="17" s="1"/>
  <c r="M108" i="17"/>
  <c r="N108" i="17" s="1"/>
  <c r="M121" i="17"/>
  <c r="R121" i="17" s="1"/>
  <c r="S121" i="17" s="1"/>
  <c r="M15" i="16"/>
  <c r="E20" i="16"/>
  <c r="H176" i="2"/>
  <c r="M105" i="17"/>
  <c r="N105" i="17" s="1"/>
  <c r="G17" i="16"/>
  <c r="I19" i="16"/>
  <c r="J19" i="16" s="1"/>
  <c r="M25" i="16"/>
  <c r="G18" i="17"/>
  <c r="H18" i="17" s="1"/>
  <c r="O74" i="17"/>
  <c r="P74" i="17" s="1"/>
  <c r="I16" i="17"/>
  <c r="J16" i="17" s="1"/>
  <c r="E17" i="16"/>
  <c r="K23" i="16"/>
  <c r="I21" i="16"/>
  <c r="J21" i="16" s="1"/>
  <c r="M7" i="16"/>
  <c r="M11" i="16"/>
  <c r="K24" i="16"/>
  <c r="K18" i="16"/>
  <c r="E14" i="16"/>
  <c r="K15" i="16"/>
  <c r="G10" i="16"/>
  <c r="G24" i="16"/>
  <c r="M10" i="16"/>
  <c r="E19" i="16"/>
  <c r="G9" i="16"/>
  <c r="E9" i="16"/>
  <c r="I23" i="16"/>
  <c r="J23" i="16" s="1"/>
  <c r="I22" i="16"/>
  <c r="J22" i="16" s="1"/>
  <c r="I11" i="16"/>
  <c r="J11" i="16" s="1"/>
  <c r="M22" i="16"/>
  <c r="M19" i="16"/>
  <c r="M18" i="16"/>
  <c r="G22" i="16"/>
  <c r="M23" i="16"/>
  <c r="M160" i="17"/>
  <c r="N160" i="17" s="1"/>
  <c r="M13" i="17"/>
  <c r="N13" i="17" s="1"/>
  <c r="M149" i="17"/>
  <c r="N149" i="17" s="1"/>
  <c r="K22" i="17"/>
  <c r="L22" i="17" s="1"/>
  <c r="M87" i="17"/>
  <c r="R87" i="17" s="1"/>
  <c r="S87" i="17" s="1"/>
  <c r="E20" i="17"/>
  <c r="F20" i="17" s="1"/>
  <c r="M161" i="17"/>
  <c r="R161" i="17" s="1"/>
  <c r="S161" i="17" s="1"/>
  <c r="M14" i="17"/>
  <c r="N14" i="17" s="1"/>
  <c r="M116" i="17"/>
  <c r="R116" i="17" s="1"/>
  <c r="S116" i="17" s="1"/>
  <c r="I9" i="17"/>
  <c r="J9" i="17" s="1"/>
  <c r="M154" i="17"/>
  <c r="R154" i="17" s="1"/>
  <c r="S154" i="17" s="1"/>
  <c r="M7" i="17"/>
  <c r="N7" i="17" s="1"/>
  <c r="M101" i="17"/>
  <c r="G14" i="17"/>
  <c r="H14" i="17" s="1"/>
  <c r="M151" i="17"/>
  <c r="N151" i="17" s="1"/>
  <c r="K24" i="17"/>
  <c r="L24" i="17" s="1"/>
  <c r="M163" i="17"/>
  <c r="R163" i="17" s="1"/>
  <c r="S163" i="17" s="1"/>
  <c r="M16" i="17"/>
  <c r="N16" i="17" s="1"/>
  <c r="M103" i="17"/>
  <c r="G16" i="17"/>
  <c r="H16" i="17" s="1"/>
  <c r="M119" i="17"/>
  <c r="N119" i="17" s="1"/>
  <c r="I12" i="17"/>
  <c r="J12" i="17" s="1"/>
  <c r="M173" i="17"/>
  <c r="M26" i="17"/>
  <c r="N26" i="17" s="1"/>
  <c r="M153" i="17"/>
  <c r="N153" i="17" s="1"/>
  <c r="K26" i="17"/>
  <c r="L26" i="17" s="1"/>
  <c r="M106" i="17"/>
  <c r="R106" i="17" s="1"/>
  <c r="S106" i="17" s="1"/>
  <c r="G19" i="17"/>
  <c r="H19" i="17" s="1"/>
  <c r="M126" i="17"/>
  <c r="R126" i="17" s="1"/>
  <c r="S126" i="17" s="1"/>
  <c r="I19" i="17"/>
  <c r="J19" i="17" s="1"/>
  <c r="M158" i="17"/>
  <c r="R158" i="17" s="1"/>
  <c r="S158" i="17" s="1"/>
  <c r="M11" i="17"/>
  <c r="N11" i="17" s="1"/>
  <c r="M171" i="17"/>
  <c r="R171" i="17" s="1"/>
  <c r="S171" i="17" s="1"/>
  <c r="M24" i="17"/>
  <c r="N24" i="17" s="1"/>
  <c r="M147" i="17"/>
  <c r="K20" i="17"/>
  <c r="L20" i="17" s="1"/>
  <c r="M142" i="17"/>
  <c r="N142" i="17" s="1"/>
  <c r="K15" i="17"/>
  <c r="L15" i="17" s="1"/>
  <c r="M114" i="17"/>
  <c r="N114" i="17" s="1"/>
  <c r="I7" i="17"/>
  <c r="J7" i="17" s="1"/>
  <c r="M170" i="17"/>
  <c r="M23" i="17"/>
  <c r="N23" i="17" s="1"/>
  <c r="M157" i="17"/>
  <c r="M10" i="17"/>
  <c r="N10" i="17" s="1"/>
  <c r="M135" i="17"/>
  <c r="R135" i="17" s="1"/>
  <c r="S135" i="17" s="1"/>
  <c r="K8" i="17"/>
  <c r="L8" i="17" s="1"/>
  <c r="M165" i="17"/>
  <c r="M18" i="17"/>
  <c r="N18" i="17" s="1"/>
  <c r="M83" i="17"/>
  <c r="E16" i="17"/>
  <c r="F16" i="17" s="1"/>
  <c r="M152" i="17"/>
  <c r="N152" i="17" s="1"/>
  <c r="K25" i="17"/>
  <c r="L25" i="17" s="1"/>
  <c r="M159" i="17"/>
  <c r="N159" i="17" s="1"/>
  <c r="M12" i="17"/>
  <c r="N12" i="17" s="1"/>
  <c r="M156" i="17"/>
  <c r="R156" i="17" s="1"/>
  <c r="S156" i="17" s="1"/>
  <c r="M9" i="17"/>
  <c r="N9" i="17" s="1"/>
  <c r="M84" i="17"/>
  <c r="R84" i="17" s="1"/>
  <c r="S84" i="17" s="1"/>
  <c r="E17" i="17"/>
  <c r="F17" i="17" s="1"/>
  <c r="M82" i="17"/>
  <c r="E15" i="17"/>
  <c r="F15" i="17" s="1"/>
  <c r="M143" i="17"/>
  <c r="R143" i="17" s="1"/>
  <c r="S143" i="17" s="1"/>
  <c r="K16" i="17"/>
  <c r="L16" i="17" s="1"/>
  <c r="M131" i="17"/>
  <c r="N131" i="17" s="1"/>
  <c r="I24" i="17"/>
  <c r="J24" i="17" s="1"/>
  <c r="M145" i="17"/>
  <c r="N145" i="17" s="1"/>
  <c r="K18" i="17"/>
  <c r="L18" i="17" s="1"/>
  <c r="M167" i="17"/>
  <c r="N167" i="17" s="1"/>
  <c r="M20" i="17"/>
  <c r="N20" i="17" s="1"/>
  <c r="M144" i="17"/>
  <c r="R144" i="17" s="1"/>
  <c r="S144" i="17" s="1"/>
  <c r="K17" i="17"/>
  <c r="L17" i="17" s="1"/>
  <c r="M110" i="17"/>
  <c r="G23" i="17"/>
  <c r="H23" i="17" s="1"/>
  <c r="M150" i="17"/>
  <c r="N150" i="17" s="1"/>
  <c r="K23" i="17"/>
  <c r="L23" i="17" s="1"/>
  <c r="M168" i="17"/>
  <c r="M21" i="17"/>
  <c r="N21" i="17" s="1"/>
  <c r="M148" i="17"/>
  <c r="R148" i="17" s="1"/>
  <c r="S148" i="17" s="1"/>
  <c r="K21" i="17"/>
  <c r="L21" i="17" s="1"/>
  <c r="M155" i="17"/>
  <c r="R155" i="17" s="1"/>
  <c r="S155" i="17" s="1"/>
  <c r="M8" i="17"/>
  <c r="N8" i="17" s="1"/>
  <c r="M88" i="17"/>
  <c r="E21" i="17"/>
  <c r="F21" i="17" s="1"/>
  <c r="M137" i="17"/>
  <c r="K10" i="17"/>
  <c r="L10" i="17" s="1"/>
  <c r="M164" i="17"/>
  <c r="R164" i="17" s="1"/>
  <c r="S164" i="17" s="1"/>
  <c r="M17" i="17"/>
  <c r="N17" i="17" s="1"/>
  <c r="M136" i="17"/>
  <c r="N136" i="17" s="1"/>
  <c r="K9" i="17"/>
  <c r="L9" i="17" s="1"/>
  <c r="M146" i="17"/>
  <c r="N146" i="17" s="1"/>
  <c r="K19" i="17"/>
  <c r="L19" i="17" s="1"/>
  <c r="M169" i="17"/>
  <c r="M22" i="17"/>
  <c r="N22" i="17" s="1"/>
  <c r="M166" i="17"/>
  <c r="N166" i="17" s="1"/>
  <c r="M19" i="17"/>
  <c r="N19" i="17" s="1"/>
  <c r="M162" i="17"/>
  <c r="N162" i="17" s="1"/>
  <c r="M15" i="17"/>
  <c r="N15" i="17" s="1"/>
  <c r="M93" i="17"/>
  <c r="N93" i="17" s="1"/>
  <c r="E26" i="17"/>
  <c r="F26" i="17" s="1"/>
  <c r="M91" i="17"/>
  <c r="N91" i="17" s="1"/>
  <c r="E24" i="17"/>
  <c r="F24" i="17" s="1"/>
  <c r="M172" i="17"/>
  <c r="R172" i="17" s="1"/>
  <c r="S172" i="17" s="1"/>
  <c r="M25" i="17"/>
  <c r="N25" i="17" s="1"/>
  <c r="M80" i="17"/>
  <c r="N80" i="17" s="1"/>
  <c r="E13" i="17"/>
  <c r="F13" i="17" s="1"/>
  <c r="M76" i="17"/>
  <c r="R76" i="17" s="1"/>
  <c r="S76" i="17" s="1"/>
  <c r="E9" i="17"/>
  <c r="F9" i="17" s="1"/>
  <c r="M75" i="17"/>
  <c r="N75" i="17" s="1"/>
  <c r="E8" i="17"/>
  <c r="F8" i="17" s="1"/>
  <c r="M78" i="17"/>
  <c r="R78" i="17" s="1"/>
  <c r="S78" i="17" s="1"/>
  <c r="E11" i="17"/>
  <c r="F11" i="17" s="1"/>
  <c r="E7" i="14"/>
  <c r="E23" i="16"/>
  <c r="K25" i="16"/>
  <c r="M13" i="16"/>
  <c r="M21" i="16"/>
  <c r="K13" i="16"/>
  <c r="A170" i="1"/>
  <c r="T12" i="2" l="1"/>
  <c r="F11" i="20" s="1"/>
  <c r="R5" i="2"/>
  <c r="D4" i="20" s="1"/>
  <c r="R4" i="2"/>
  <c r="D3" i="20" s="1"/>
  <c r="R3" i="2"/>
  <c r="D2" i="20" s="1"/>
  <c r="P3" i="2"/>
  <c r="B2" i="20" s="1"/>
  <c r="Q12" i="2"/>
  <c r="C11" i="20" s="1"/>
  <c r="P9" i="2"/>
  <c r="B8" i="20" s="1"/>
  <c r="Q18" i="17"/>
  <c r="C17" i="24" s="1"/>
  <c r="P17" i="17"/>
  <c r="B16" i="24" s="1"/>
  <c r="R20" i="17"/>
  <c r="D19" i="24" s="1"/>
  <c r="S17" i="17"/>
  <c r="E16" i="24" s="1"/>
  <c r="R13" i="17"/>
  <c r="D12" i="24" s="1"/>
  <c r="S5" i="17"/>
  <c r="E4" i="24" s="1"/>
  <c r="R19" i="17"/>
  <c r="D18" i="24" s="1"/>
  <c r="Q10" i="17"/>
  <c r="C9" i="24" s="1"/>
  <c r="T19" i="17"/>
  <c r="F18" i="24" s="1"/>
  <c r="P11" i="17"/>
  <c r="B10" i="24" s="1"/>
  <c r="T10" i="17"/>
  <c r="F9" i="24" s="1"/>
  <c r="T13" i="17"/>
  <c r="F12" i="24" s="1"/>
  <c r="S9" i="17"/>
  <c r="E8" i="24" s="1"/>
  <c r="S19" i="17"/>
  <c r="E18" i="24" s="1"/>
  <c r="P20" i="17"/>
  <c r="B19" i="24" s="1"/>
  <c r="S11" i="17"/>
  <c r="E10" i="24" s="1"/>
  <c r="S22" i="17"/>
  <c r="E21" i="24" s="1"/>
  <c r="P6" i="17"/>
  <c r="B5" i="24" s="1"/>
  <c r="T18" i="17"/>
  <c r="F17" i="24" s="1"/>
  <c r="T4" i="17"/>
  <c r="F3" i="24" s="1"/>
  <c r="T20" i="17"/>
  <c r="F19" i="24" s="1"/>
  <c r="T9" i="17"/>
  <c r="F8" i="24" s="1"/>
  <c r="P18" i="17"/>
  <c r="B17" i="24" s="1"/>
  <c r="P4" i="17"/>
  <c r="B3" i="24" s="1"/>
  <c r="S18" i="17"/>
  <c r="E17" i="24" s="1"/>
  <c r="T22" i="17"/>
  <c r="F21" i="24" s="1"/>
  <c r="Q15" i="17"/>
  <c r="C14" i="24" s="1"/>
  <c r="P13" i="17"/>
  <c r="B12" i="24" s="1"/>
  <c r="Q14" i="17"/>
  <c r="C13" i="24" s="1"/>
  <c r="R6" i="17"/>
  <c r="D5" i="24" s="1"/>
  <c r="Q21" i="17"/>
  <c r="C20" i="24" s="1"/>
  <c r="S7" i="17"/>
  <c r="E6" i="24" s="1"/>
  <c r="P9" i="17"/>
  <c r="B8" i="24" s="1"/>
  <c r="P7" i="17"/>
  <c r="B6" i="24" s="1"/>
  <c r="R8" i="17"/>
  <c r="D7" i="24" s="1"/>
  <c r="T15" i="17"/>
  <c r="F14" i="24" s="1"/>
  <c r="P16" i="17"/>
  <c r="B15" i="24" s="1"/>
  <c r="R22" i="17"/>
  <c r="D21" i="24" s="1"/>
  <c r="P14" i="17"/>
  <c r="B13" i="24" s="1"/>
  <c r="S21" i="17"/>
  <c r="E20" i="24" s="1"/>
  <c r="S15" i="17"/>
  <c r="E14" i="24" s="1"/>
  <c r="T17" i="17"/>
  <c r="F16" i="24" s="1"/>
  <c r="R3" i="17"/>
  <c r="D2" i="24" s="1"/>
  <c r="P22" i="17"/>
  <c r="B21" i="24" s="1"/>
  <c r="P5" i="17"/>
  <c r="B4" i="24" s="1"/>
  <c r="S6" i="17"/>
  <c r="E5" i="24" s="1"/>
  <c r="T12" i="17"/>
  <c r="F11" i="24" s="1"/>
  <c r="T7" i="17"/>
  <c r="F6" i="24" s="1"/>
  <c r="T8" i="17"/>
  <c r="F7" i="24" s="1"/>
  <c r="T6" i="17"/>
  <c r="F5" i="24" s="1"/>
  <c r="T14" i="17"/>
  <c r="F13" i="24" s="1"/>
  <c r="T5" i="17"/>
  <c r="F4" i="24" s="1"/>
  <c r="R15" i="17"/>
  <c r="D14" i="24" s="1"/>
  <c r="Q12" i="17"/>
  <c r="C11" i="24" s="1"/>
  <c r="T11" i="17"/>
  <c r="F10" i="24" s="1"/>
  <c r="Q19" i="17"/>
  <c r="C18" i="24" s="1"/>
  <c r="S4" i="17"/>
  <c r="E3" i="24" s="1"/>
  <c r="T16" i="17"/>
  <c r="F15" i="24" s="1"/>
  <c r="S16" i="17"/>
  <c r="E15" i="24" s="1"/>
  <c r="P12" i="17"/>
  <c r="B11" i="24" s="1"/>
  <c r="S12" i="17"/>
  <c r="E11" i="24" s="1"/>
  <c r="S14" i="17"/>
  <c r="E13" i="24" s="1"/>
  <c r="T21" i="17"/>
  <c r="F20" i="24" s="1"/>
  <c r="T3" i="17"/>
  <c r="F2" i="24" s="1"/>
  <c r="R5" i="17"/>
  <c r="D4" i="24" s="1"/>
  <c r="S20" i="17"/>
  <c r="E19" i="24" s="1"/>
  <c r="M109" i="17"/>
  <c r="R109" i="17" s="1"/>
  <c r="S109" i="17" s="1"/>
  <c r="G22" i="17"/>
  <c r="H22" i="17" s="1"/>
  <c r="E18" i="17"/>
  <c r="F18" i="17" s="1"/>
  <c r="M85" i="17"/>
  <c r="N85" i="17" s="1"/>
  <c r="E22" i="17"/>
  <c r="F22" i="17" s="1"/>
  <c r="M140" i="17"/>
  <c r="N140" i="17" s="1"/>
  <c r="P3" i="17"/>
  <c r="B2" i="24" s="1"/>
  <c r="M74" i="17"/>
  <c r="N74" i="17" s="1"/>
  <c r="I10" i="17"/>
  <c r="J10" i="17" s="1"/>
  <c r="E11" i="16"/>
  <c r="M117" i="17"/>
  <c r="R117" i="17" s="1"/>
  <c r="S117" i="17" s="1"/>
  <c r="K8" i="16"/>
  <c r="M133" i="17"/>
  <c r="R133" i="17" s="1"/>
  <c r="S133" i="17" s="1"/>
  <c r="K13" i="17"/>
  <c r="L13" i="17" s="1"/>
  <c r="I17" i="17"/>
  <c r="J17" i="17" s="1"/>
  <c r="M124" i="17"/>
  <c r="R124" i="17" s="1"/>
  <c r="S124" i="17" s="1"/>
  <c r="E10" i="17"/>
  <c r="F10" i="17" s="1"/>
  <c r="M77" i="17"/>
  <c r="N77" i="17" s="1"/>
  <c r="R7" i="2"/>
  <c r="D6" i="20" s="1"/>
  <c r="E7" i="2"/>
  <c r="M89" i="17"/>
  <c r="N89" i="17" s="1"/>
  <c r="G23" i="16"/>
  <c r="K11" i="17"/>
  <c r="L11" i="17" s="1"/>
  <c r="S6" i="2"/>
  <c r="E5" i="20" s="1"/>
  <c r="P15" i="2"/>
  <c r="B14" i="20" s="1"/>
  <c r="R11" i="2"/>
  <c r="D10" i="20" s="1"/>
  <c r="R15" i="2"/>
  <c r="D14" i="20" s="1"/>
  <c r="Q22" i="2"/>
  <c r="C21" i="20" s="1"/>
  <c r="M138" i="17"/>
  <c r="R138" i="17" s="1"/>
  <c r="S138" i="17" s="1"/>
  <c r="I26" i="17"/>
  <c r="J26" i="17" s="1"/>
  <c r="T14" i="2"/>
  <c r="F13" i="20" s="1"/>
  <c r="S4" i="2"/>
  <c r="E3" i="20" s="1"/>
  <c r="Q3" i="2"/>
  <c r="C2" i="20" s="1"/>
  <c r="P10" i="2"/>
  <c r="B9" i="20" s="1"/>
  <c r="Q18" i="2"/>
  <c r="C17" i="20" s="1"/>
  <c r="T10" i="2"/>
  <c r="F9" i="20" s="1"/>
  <c r="Q10" i="2"/>
  <c r="C9" i="20" s="1"/>
  <c r="Q5" i="2"/>
  <c r="C4" i="20" s="1"/>
  <c r="G25" i="17"/>
  <c r="H25" i="17" s="1"/>
  <c r="S3" i="2"/>
  <c r="E2" i="20" s="1"/>
  <c r="R8" i="2"/>
  <c r="D7" i="20" s="1"/>
  <c r="S21" i="2"/>
  <c r="E20" i="20" s="1"/>
  <c r="S22" i="2"/>
  <c r="E21" i="20" s="1"/>
  <c r="P21" i="2"/>
  <c r="B20" i="20" s="1"/>
  <c r="S19" i="2"/>
  <c r="E18" i="20" s="1"/>
  <c r="S8" i="2"/>
  <c r="E7" i="20" s="1"/>
  <c r="P6" i="2"/>
  <c r="B5" i="20" s="1"/>
  <c r="Q7" i="2"/>
  <c r="C6" i="20" s="1"/>
  <c r="Q17" i="2"/>
  <c r="C16" i="20" s="1"/>
  <c r="T7" i="2"/>
  <c r="F6" i="20" s="1"/>
  <c r="R10" i="17"/>
  <c r="D9" i="24" s="1"/>
  <c r="E21" i="16"/>
  <c r="E26" i="16"/>
  <c r="Q14" i="2"/>
  <c r="C13" i="20" s="1"/>
  <c r="P18" i="2"/>
  <c r="B17" i="20" s="1"/>
  <c r="R14" i="2"/>
  <c r="D13" i="20" s="1"/>
  <c r="R20" i="2"/>
  <c r="D19" i="20" s="1"/>
  <c r="Q11" i="2"/>
  <c r="C10" i="20" s="1"/>
  <c r="I14" i="17"/>
  <c r="J14" i="17" s="1"/>
  <c r="G18" i="16"/>
  <c r="E13" i="16"/>
  <c r="M112" i="17"/>
  <c r="N112" i="17" s="1"/>
  <c r="R21" i="17"/>
  <c r="D20" i="24" s="1"/>
  <c r="I25" i="17"/>
  <c r="J25" i="17" s="1"/>
  <c r="G21" i="17"/>
  <c r="H21" i="17" s="1"/>
  <c r="I23" i="17"/>
  <c r="J23" i="17" s="1"/>
  <c r="Q17" i="17"/>
  <c r="C16" i="24" s="1"/>
  <c r="M130" i="17"/>
  <c r="R130" i="17" s="1"/>
  <c r="S130" i="17" s="1"/>
  <c r="S20" i="2"/>
  <c r="E19" i="20" s="1"/>
  <c r="P17" i="2"/>
  <c r="B16" i="20" s="1"/>
  <c r="E15" i="16"/>
  <c r="P7" i="2"/>
  <c r="B6" i="20" s="1"/>
  <c r="R105" i="17"/>
  <c r="S105" i="17" s="1"/>
  <c r="Q16" i="2"/>
  <c r="C15" i="20" s="1"/>
  <c r="G14" i="16"/>
  <c r="R13" i="2"/>
  <c r="D12" i="20" s="1"/>
  <c r="R10" i="2"/>
  <c r="D9" i="20" s="1"/>
  <c r="Q6" i="2"/>
  <c r="C5" i="20" s="1"/>
  <c r="R6" i="2"/>
  <c r="D5" i="20" s="1"/>
  <c r="S15" i="2"/>
  <c r="E14" i="20" s="1"/>
  <c r="T18" i="2"/>
  <c r="F17" i="20" s="1"/>
  <c r="S16" i="2"/>
  <c r="E15" i="20" s="1"/>
  <c r="R22" i="2"/>
  <c r="D21" i="20" s="1"/>
  <c r="P16" i="2"/>
  <c r="B15" i="20" s="1"/>
  <c r="T11" i="2"/>
  <c r="F10" i="20" s="1"/>
  <c r="T19" i="2"/>
  <c r="F18" i="20" s="1"/>
  <c r="S10" i="2"/>
  <c r="E9" i="20" s="1"/>
  <c r="P11" i="2"/>
  <c r="B10" i="20" s="1"/>
  <c r="T4" i="2"/>
  <c r="F3" i="20" s="1"/>
  <c r="Q20" i="2"/>
  <c r="C19" i="20" s="1"/>
  <c r="P12" i="2"/>
  <c r="B11" i="20" s="1"/>
  <c r="R18" i="2"/>
  <c r="D17" i="20" s="1"/>
  <c r="Q21" i="2"/>
  <c r="C20" i="20" s="1"/>
  <c r="P8" i="2"/>
  <c r="B7" i="20" s="1"/>
  <c r="Q8" i="2"/>
  <c r="C7" i="20" s="1"/>
  <c r="Q4" i="2"/>
  <c r="C3" i="20" s="1"/>
  <c r="T8" i="2"/>
  <c r="F7" i="20" s="1"/>
  <c r="T21" i="2"/>
  <c r="F20" i="20" s="1"/>
  <c r="R19" i="2"/>
  <c r="D18" i="20" s="1"/>
  <c r="S17" i="2"/>
  <c r="E16" i="20" s="1"/>
  <c r="T5" i="2"/>
  <c r="F4" i="20" s="1"/>
  <c r="P19" i="2"/>
  <c r="B18" i="20" s="1"/>
  <c r="Q13" i="2"/>
  <c r="C12" i="20" s="1"/>
  <c r="P20" i="2"/>
  <c r="B19" i="20" s="1"/>
  <c r="T13" i="2"/>
  <c r="F12" i="20" s="1"/>
  <c r="T9" i="2"/>
  <c r="F8" i="20" s="1"/>
  <c r="P14" i="2"/>
  <c r="B13" i="20" s="1"/>
  <c r="S12" i="2"/>
  <c r="E11" i="20" s="1"/>
  <c r="S7" i="2"/>
  <c r="E6" i="20" s="1"/>
  <c r="T3" i="2"/>
  <c r="F2" i="20" s="1"/>
  <c r="T17" i="2"/>
  <c r="F16" i="20" s="1"/>
  <c r="T6" i="2"/>
  <c r="F5" i="20" s="1"/>
  <c r="S13" i="2"/>
  <c r="E12" i="20" s="1"/>
  <c r="P4" i="2"/>
  <c r="B3" i="20" s="1"/>
  <c r="S9" i="2"/>
  <c r="E8" i="20" s="1"/>
  <c r="S11" i="2"/>
  <c r="E10" i="20" s="1"/>
  <c r="S18" i="2"/>
  <c r="E17" i="20" s="1"/>
  <c r="R21" i="2"/>
  <c r="D20" i="20" s="1"/>
  <c r="P22" i="2"/>
  <c r="B21" i="20" s="1"/>
  <c r="Q9" i="2"/>
  <c r="C8" i="20" s="1"/>
  <c r="R16" i="2"/>
  <c r="D15" i="20" s="1"/>
  <c r="R17" i="2"/>
  <c r="D16" i="20" s="1"/>
  <c r="Q19" i="2"/>
  <c r="C18" i="20" s="1"/>
  <c r="T22" i="2"/>
  <c r="F21" i="20" s="1"/>
  <c r="P13" i="2"/>
  <c r="B12" i="20" s="1"/>
  <c r="T16" i="2"/>
  <c r="F15" i="20" s="1"/>
  <c r="S5" i="2"/>
  <c r="E4" i="20" s="1"/>
  <c r="S14" i="2"/>
  <c r="E13" i="20" s="1"/>
  <c r="P5" i="2"/>
  <c r="B4" i="20" s="1"/>
  <c r="R9" i="2"/>
  <c r="D8" i="20" s="1"/>
  <c r="T20" i="2"/>
  <c r="F19" i="20" s="1"/>
  <c r="T15" i="2"/>
  <c r="F14" i="20" s="1"/>
  <c r="Q15" i="2"/>
  <c r="C14" i="20" s="1"/>
  <c r="M125" i="17"/>
  <c r="N125" i="17" s="1"/>
  <c r="R14" i="17"/>
  <c r="D13" i="24" s="1"/>
  <c r="M94" i="17"/>
  <c r="R94" i="17" s="1"/>
  <c r="S94" i="17" s="1"/>
  <c r="Q3" i="17"/>
  <c r="C2" i="24" s="1"/>
  <c r="I22" i="17"/>
  <c r="J22" i="17" s="1"/>
  <c r="R18" i="17"/>
  <c r="D17" i="24" s="1"/>
  <c r="M115" i="17"/>
  <c r="N115" i="17" s="1"/>
  <c r="R4" i="17"/>
  <c r="D3" i="24" s="1"/>
  <c r="M118" i="17"/>
  <c r="R118" i="17" s="1"/>
  <c r="S118" i="17" s="1"/>
  <c r="R7" i="17"/>
  <c r="D6" i="24" s="1"/>
  <c r="K12" i="17"/>
  <c r="L12" i="17" s="1"/>
  <c r="S8" i="17"/>
  <c r="E7" i="24" s="1"/>
  <c r="M128" i="17"/>
  <c r="N128" i="17" s="1"/>
  <c r="R17" i="17"/>
  <c r="D16" i="24" s="1"/>
  <c r="M104" i="17"/>
  <c r="R104" i="17" s="1"/>
  <c r="S104" i="17" s="1"/>
  <c r="Q13" i="17"/>
  <c r="C12" i="24" s="1"/>
  <c r="G15" i="17"/>
  <c r="H15" i="17" s="1"/>
  <c r="Q11" i="17"/>
  <c r="C10" i="24" s="1"/>
  <c r="M99" i="17"/>
  <c r="R99" i="17" s="1"/>
  <c r="S99" i="17" s="1"/>
  <c r="Q8" i="17"/>
  <c r="C7" i="24" s="1"/>
  <c r="M113" i="17"/>
  <c r="R113" i="17" s="1"/>
  <c r="S113" i="17" s="1"/>
  <c r="Q22" i="17"/>
  <c r="C21" i="24" s="1"/>
  <c r="M86" i="17"/>
  <c r="N86" i="17" s="1"/>
  <c r="P15" i="17"/>
  <c r="B14" i="24" s="1"/>
  <c r="M90" i="17"/>
  <c r="R90" i="17" s="1"/>
  <c r="S90" i="17" s="1"/>
  <c r="P19" i="17"/>
  <c r="B18" i="24" s="1"/>
  <c r="M127" i="17"/>
  <c r="R127" i="17" s="1"/>
  <c r="S127" i="17" s="1"/>
  <c r="R16" i="17"/>
  <c r="D15" i="24" s="1"/>
  <c r="M100" i="17"/>
  <c r="R100" i="17" s="1"/>
  <c r="S100" i="17" s="1"/>
  <c r="Q9" i="17"/>
  <c r="C8" i="24" s="1"/>
  <c r="M92" i="17"/>
  <c r="N92" i="17" s="1"/>
  <c r="P21" i="17"/>
  <c r="B20" i="24" s="1"/>
  <c r="G10" i="17"/>
  <c r="H10" i="17" s="1"/>
  <c r="Q6" i="17"/>
  <c r="C5" i="24" s="1"/>
  <c r="K7" i="17"/>
  <c r="L7" i="17" s="1"/>
  <c r="S3" i="17"/>
  <c r="E2" i="24" s="1"/>
  <c r="M81" i="17"/>
  <c r="N81" i="17" s="1"/>
  <c r="P10" i="17"/>
  <c r="B9" i="24" s="1"/>
  <c r="M122" i="17"/>
  <c r="R122" i="17" s="1"/>
  <c r="S122" i="17" s="1"/>
  <c r="R11" i="17"/>
  <c r="D10" i="24" s="1"/>
  <c r="M96" i="17"/>
  <c r="R96" i="17" s="1"/>
  <c r="S96" i="17" s="1"/>
  <c r="Q5" i="17"/>
  <c r="C4" i="24" s="1"/>
  <c r="M98" i="17"/>
  <c r="R98" i="17" s="1"/>
  <c r="S98" i="17" s="1"/>
  <c r="Q7" i="17"/>
  <c r="C6" i="24" s="1"/>
  <c r="M95" i="17"/>
  <c r="R95" i="17" s="1"/>
  <c r="S95" i="17" s="1"/>
  <c r="Q4" i="17"/>
  <c r="C3" i="24" s="1"/>
  <c r="M79" i="17"/>
  <c r="N79" i="17" s="1"/>
  <c r="P8" i="17"/>
  <c r="B7" i="24" s="1"/>
  <c r="G24" i="17"/>
  <c r="H24" i="17" s="1"/>
  <c r="Q20" i="17"/>
  <c r="C19" i="24" s="1"/>
  <c r="M120" i="17"/>
  <c r="R120" i="17" s="1"/>
  <c r="S120" i="17" s="1"/>
  <c r="R9" i="17"/>
  <c r="D8" i="24" s="1"/>
  <c r="M107" i="17"/>
  <c r="N107" i="17" s="1"/>
  <c r="Q16" i="17"/>
  <c r="C15" i="24" s="1"/>
  <c r="M141" i="17"/>
  <c r="R141" i="17" s="1"/>
  <c r="S141" i="17" s="1"/>
  <c r="S10" i="17"/>
  <c r="E9" i="24" s="1"/>
  <c r="M102" i="17"/>
  <c r="R102" i="17" s="1"/>
  <c r="S102" i="17" s="1"/>
  <c r="G26" i="17"/>
  <c r="H26" i="17" s="1"/>
  <c r="G12" i="17"/>
  <c r="H12" i="17" s="1"/>
  <c r="M123" i="17"/>
  <c r="N123" i="17" s="1"/>
  <c r="T74" i="17"/>
  <c r="K14" i="17"/>
  <c r="L14" i="17" s="1"/>
  <c r="I15" i="17"/>
  <c r="J15" i="17" s="1"/>
  <c r="G13" i="17"/>
  <c r="H13" i="17" s="1"/>
  <c r="E14" i="17"/>
  <c r="F14" i="17" s="1"/>
  <c r="M134" i="17"/>
  <c r="R134" i="17" s="1"/>
  <c r="S134" i="17" s="1"/>
  <c r="O76" i="17"/>
  <c r="O75" i="17"/>
  <c r="Q75" i="17" s="1"/>
  <c r="M139" i="17"/>
  <c r="R139" i="17" s="1"/>
  <c r="S139" i="17" s="1"/>
  <c r="M111" i="17"/>
  <c r="N111" i="17" s="1"/>
  <c r="I21" i="17"/>
  <c r="J21" i="17" s="1"/>
  <c r="M97" i="17"/>
  <c r="R97" i="17" s="1"/>
  <c r="S97" i="17" s="1"/>
  <c r="M129" i="17"/>
  <c r="N129" i="17" s="1"/>
  <c r="E12" i="17"/>
  <c r="F12" i="17" s="1"/>
  <c r="G20" i="17"/>
  <c r="H20" i="17" s="1"/>
  <c r="I20" i="17"/>
  <c r="J20" i="17" s="1"/>
  <c r="I13" i="17"/>
  <c r="J13" i="17" s="1"/>
  <c r="G11" i="17"/>
  <c r="H11" i="17" s="1"/>
  <c r="E23" i="17"/>
  <c r="F23" i="17" s="1"/>
  <c r="G8" i="17"/>
  <c r="H8" i="17" s="1"/>
  <c r="I18" i="17"/>
  <c r="J18" i="17" s="1"/>
  <c r="G7" i="17"/>
  <c r="H7" i="17" s="1"/>
  <c r="I11" i="17"/>
  <c r="J11" i="17" s="1"/>
  <c r="E25" i="17"/>
  <c r="F25" i="17" s="1"/>
  <c r="G17" i="17"/>
  <c r="H17" i="17" s="1"/>
  <c r="E19" i="17"/>
  <c r="F19" i="17" s="1"/>
  <c r="G9" i="17"/>
  <c r="H9" i="17" s="1"/>
  <c r="I8" i="17"/>
  <c r="J8" i="17" s="1"/>
  <c r="N87" i="17"/>
  <c r="R165" i="17"/>
  <c r="S165" i="17" s="1"/>
  <c r="R159" i="17"/>
  <c r="S159" i="17" s="1"/>
  <c r="N154" i="17"/>
  <c r="R151" i="17"/>
  <c r="S151" i="17" s="1"/>
  <c r="R146" i="17"/>
  <c r="S146" i="17" s="1"/>
  <c r="N163" i="17"/>
  <c r="R88" i="17"/>
  <c r="S88" i="17" s="1"/>
  <c r="N165" i="17"/>
  <c r="R167" i="17"/>
  <c r="S167" i="17" s="1"/>
  <c r="N88" i="17"/>
  <c r="R142" i="17"/>
  <c r="S142" i="17" s="1"/>
  <c r="R110" i="17"/>
  <c r="S110" i="17" s="1"/>
  <c r="N110" i="17"/>
  <c r="N143" i="17"/>
  <c r="N148" i="17"/>
  <c r="N78" i="17"/>
  <c r="R91" i="17"/>
  <c r="S91" i="17" s="1"/>
  <c r="R160" i="17"/>
  <c r="S160" i="17" s="1"/>
  <c r="N83" i="17"/>
  <c r="N137" i="17"/>
  <c r="R173" i="17"/>
  <c r="S173" i="17" s="1"/>
  <c r="R170" i="17"/>
  <c r="S170" i="17" s="1"/>
  <c r="N164" i="17"/>
  <c r="R132" i="17"/>
  <c r="S132" i="17" s="1"/>
  <c r="N84" i="17"/>
  <c r="N121" i="17"/>
  <c r="N171" i="17"/>
  <c r="N106" i="17"/>
  <c r="N161" i="17"/>
  <c r="N170" i="17"/>
  <c r="N157" i="17"/>
  <c r="R150" i="17"/>
  <c r="S150" i="17" s="1"/>
  <c r="R108" i="17"/>
  <c r="S108" i="17" s="1"/>
  <c r="R157" i="17"/>
  <c r="S157" i="17" s="1"/>
  <c r="R145" i="17"/>
  <c r="S145" i="17" s="1"/>
  <c r="R131" i="17"/>
  <c r="S131" i="17" s="1"/>
  <c r="R153" i="17"/>
  <c r="S153" i="17" s="1"/>
  <c r="R83" i="17"/>
  <c r="S83" i="17" s="1"/>
  <c r="N158" i="17"/>
  <c r="N116" i="17"/>
  <c r="N173" i="17"/>
  <c r="R103" i="17"/>
  <c r="S103" i="17" s="1"/>
  <c r="R137" i="17"/>
  <c r="S137" i="17" s="1"/>
  <c r="N103" i="17"/>
  <c r="N156" i="17"/>
  <c r="R114" i="17"/>
  <c r="S114" i="17" s="1"/>
  <c r="R93" i="17"/>
  <c r="S93" i="17" s="1"/>
  <c r="R166" i="17"/>
  <c r="S166" i="17" s="1"/>
  <c r="N155" i="17"/>
  <c r="R168" i="17"/>
  <c r="S168" i="17" s="1"/>
  <c r="N147" i="17"/>
  <c r="N144" i="17"/>
  <c r="R119" i="17"/>
  <c r="S119" i="17" s="1"/>
  <c r="R147" i="17"/>
  <c r="S147" i="17" s="1"/>
  <c r="N168" i="17"/>
  <c r="R149" i="17"/>
  <c r="S149" i="17" s="1"/>
  <c r="N101" i="17"/>
  <c r="N82" i="17"/>
  <c r="R82" i="17"/>
  <c r="S82" i="17" s="1"/>
  <c r="N126" i="17"/>
  <c r="R136" i="17"/>
  <c r="S136" i="17" s="1"/>
  <c r="R101" i="17"/>
  <c r="S101" i="17" s="1"/>
  <c r="N135" i="17"/>
  <c r="R152" i="17"/>
  <c r="S152" i="17" s="1"/>
  <c r="R162" i="17"/>
  <c r="S162" i="17" s="1"/>
  <c r="N172" i="17"/>
  <c r="R80" i="17"/>
  <c r="S80" i="17" s="1"/>
  <c r="N169" i="17"/>
  <c r="R169" i="17"/>
  <c r="S169" i="17" s="1"/>
  <c r="N76" i="17"/>
  <c r="R75" i="17"/>
  <c r="S75" i="17" s="1"/>
  <c r="U74" i="17"/>
  <c r="A171" i="1"/>
  <c r="N109" i="17" l="1"/>
  <c r="N117" i="17"/>
  <c r="R85" i="17"/>
  <c r="S85" i="17" s="1"/>
  <c r="N138" i="17"/>
  <c r="N98" i="17"/>
  <c r="R140" i="17"/>
  <c r="S140" i="17" s="1"/>
  <c r="N124" i="17"/>
  <c r="R74" i="17"/>
  <c r="S74" i="17" s="1"/>
  <c r="R112" i="17"/>
  <c r="S112" i="17" s="1"/>
  <c r="Q74" i="17"/>
  <c r="N120" i="17"/>
  <c r="N127" i="17"/>
  <c r="N133" i="17"/>
  <c r="N94" i="17"/>
  <c r="R89" i="17"/>
  <c r="S89" i="17" s="1"/>
  <c r="N99" i="17"/>
  <c r="N113" i="17"/>
  <c r="R77" i="17"/>
  <c r="S77" i="17" s="1"/>
  <c r="R128" i="17"/>
  <c r="S128" i="17" s="1"/>
  <c r="N90" i="17"/>
  <c r="N130" i="17"/>
  <c r="R125" i="17"/>
  <c r="S125" i="17" s="1"/>
  <c r="N118" i="17"/>
  <c r="N96" i="17"/>
  <c r="R81" i="17"/>
  <c r="S81" i="17" s="1"/>
  <c r="N100" i="17"/>
  <c r="N95" i="17"/>
  <c r="N104" i="17"/>
  <c r="R86" i="17"/>
  <c r="S86" i="17" s="1"/>
  <c r="N122" i="17"/>
  <c r="R92" i="17"/>
  <c r="S92" i="17" s="1"/>
  <c r="R107" i="17"/>
  <c r="S107" i="17" s="1"/>
  <c r="N141" i="17"/>
  <c r="R115" i="17"/>
  <c r="S115" i="17" s="1"/>
  <c r="R79" i="17"/>
  <c r="S79" i="17" s="1"/>
  <c r="N102" i="17"/>
  <c r="R123" i="17"/>
  <c r="S123" i="17" s="1"/>
  <c r="N134" i="17"/>
  <c r="N97" i="17"/>
  <c r="N139" i="17"/>
  <c r="M174" i="17"/>
  <c r="M175" i="17" s="1"/>
  <c r="O77" i="17"/>
  <c r="R111" i="17"/>
  <c r="S111" i="17" s="1"/>
  <c r="R129" i="17"/>
  <c r="S129" i="17" s="1"/>
  <c r="P75" i="17"/>
  <c r="T75" i="17"/>
  <c r="A172" i="1"/>
  <c r="V74" i="17" l="1"/>
  <c r="N174" i="17"/>
  <c r="M179" i="17" s="1"/>
  <c r="O78" i="17"/>
  <c r="S174" i="17"/>
  <c r="R174" i="17"/>
  <c r="R175" i="17" s="1"/>
  <c r="U75" i="17"/>
  <c r="V75" i="17"/>
  <c r="P76" i="17"/>
  <c r="U76" i="17" s="1"/>
  <c r="T76" i="17"/>
  <c r="V76" i="17" s="1"/>
  <c r="Q76" i="17"/>
  <c r="A173" i="1"/>
  <c r="C64" i="16"/>
  <c r="E64" i="16" s="1"/>
  <c r="C65" i="1"/>
  <c r="D65" i="1" s="1"/>
  <c r="C45" i="1"/>
  <c r="B56" i="1"/>
  <c r="O79" i="17" l="1"/>
  <c r="T79" i="17" s="1"/>
  <c r="V79" i="17" s="1"/>
  <c r="R179" i="17"/>
  <c r="T77" i="17"/>
  <c r="V77" i="17" s="1"/>
  <c r="P77" i="17"/>
  <c r="U77" i="17" s="1"/>
  <c r="Q77" i="17"/>
  <c r="B163" i="1"/>
  <c r="B89" i="1"/>
  <c r="B79" i="1"/>
  <c r="B103" i="1"/>
  <c r="B142" i="1"/>
  <c r="B157" i="1"/>
  <c r="B151" i="1"/>
  <c r="B133" i="1"/>
  <c r="B126" i="1"/>
  <c r="B119" i="1"/>
  <c r="B111" i="1"/>
  <c r="B117" i="1"/>
  <c r="B132" i="1"/>
  <c r="B138" i="1"/>
  <c r="B164" i="1"/>
  <c r="B110" i="1"/>
  <c r="B171" i="1"/>
  <c r="B167" i="1"/>
  <c r="B155" i="1"/>
  <c r="B166" i="1"/>
  <c r="B149" i="1"/>
  <c r="B158" i="1"/>
  <c r="B141" i="1"/>
  <c r="B148" i="1"/>
  <c r="B125" i="1"/>
  <c r="B134" i="1"/>
  <c r="B124" i="1"/>
  <c r="B116" i="1"/>
  <c r="B165" i="1"/>
  <c r="B168" i="1"/>
  <c r="B147" i="1"/>
  <c r="B156" i="1"/>
  <c r="B140" i="1"/>
  <c r="B123" i="1"/>
  <c r="B131" i="1"/>
  <c r="B114" i="1"/>
  <c r="B172" i="1"/>
  <c r="B99" i="1"/>
  <c r="B96" i="1"/>
  <c r="B162" i="1"/>
  <c r="B154" i="1"/>
  <c r="B146" i="1"/>
  <c r="B153" i="1"/>
  <c r="B144" i="1"/>
  <c r="B161" i="1"/>
  <c r="B139" i="1"/>
  <c r="B135" i="1"/>
  <c r="B130" i="1"/>
  <c r="B129" i="1"/>
  <c r="B122" i="1"/>
  <c r="B121" i="1"/>
  <c r="B112" i="1"/>
  <c r="B115" i="1"/>
  <c r="B86" i="1"/>
  <c r="B77" i="1"/>
  <c r="B94" i="1"/>
  <c r="B100" i="1"/>
  <c r="B85" i="1"/>
  <c r="B78" i="1"/>
  <c r="B98" i="1"/>
  <c r="B105" i="1"/>
  <c r="B91" i="1"/>
  <c r="B74" i="1"/>
  <c r="B101" i="1"/>
  <c r="B108" i="1"/>
  <c r="B83" i="1"/>
  <c r="B76" i="1"/>
  <c r="B92" i="1"/>
  <c r="B107" i="1"/>
  <c r="B84" i="1"/>
  <c r="B90" i="1"/>
  <c r="B75" i="1"/>
  <c r="B93" i="1"/>
  <c r="B106" i="1"/>
  <c r="B82" i="1"/>
  <c r="B87" i="1"/>
  <c r="B80" i="1"/>
  <c r="B97" i="1"/>
  <c r="B160" i="1"/>
  <c r="B152" i="1"/>
  <c r="B145" i="1"/>
  <c r="B137" i="1"/>
  <c r="B128" i="1"/>
  <c r="B120" i="1"/>
  <c r="B113" i="1"/>
  <c r="B104" i="1"/>
  <c r="B88" i="1"/>
  <c r="B81" i="1"/>
  <c r="B102" i="1"/>
  <c r="B95" i="1"/>
  <c r="B150" i="1"/>
  <c r="B159" i="1"/>
  <c r="B143" i="1"/>
  <c r="B127" i="1"/>
  <c r="B136" i="1"/>
  <c r="B118" i="1"/>
  <c r="B109" i="1"/>
  <c r="B169" i="1"/>
  <c r="B173" i="1"/>
  <c r="B170" i="1"/>
  <c r="B57" i="1"/>
  <c r="D45" i="1"/>
  <c r="E65" i="1"/>
  <c r="E45" i="1"/>
  <c r="O80" i="17" l="1"/>
  <c r="T80" i="17" s="1"/>
  <c r="V80" i="17" s="1"/>
  <c r="Q79" i="17"/>
  <c r="P79" i="17"/>
  <c r="U79" i="17" s="1"/>
  <c r="P78" i="17"/>
  <c r="U78" i="17" s="1"/>
  <c r="T78" i="17"/>
  <c r="Q78" i="17"/>
  <c r="D159" i="1"/>
  <c r="D114" i="1"/>
  <c r="D103" i="1"/>
  <c r="D173" i="1"/>
  <c r="D150" i="1"/>
  <c r="D128" i="1"/>
  <c r="D82" i="1"/>
  <c r="D76" i="1"/>
  <c r="D78" i="1"/>
  <c r="D121" i="1"/>
  <c r="D153" i="1"/>
  <c r="D131" i="1"/>
  <c r="D124" i="1"/>
  <c r="D155" i="1"/>
  <c r="D111" i="1"/>
  <c r="D79" i="1"/>
  <c r="D170" i="1"/>
  <c r="D112" i="1"/>
  <c r="D117" i="1"/>
  <c r="D122" i="1"/>
  <c r="D146" i="1"/>
  <c r="D123" i="1"/>
  <c r="D134" i="1"/>
  <c r="D167" i="1"/>
  <c r="D119" i="1"/>
  <c r="D89" i="1"/>
  <c r="D120" i="1"/>
  <c r="D116" i="1"/>
  <c r="D95" i="1"/>
  <c r="D102" i="1"/>
  <c r="D93" i="1"/>
  <c r="D108" i="1"/>
  <c r="D100" i="1"/>
  <c r="D129" i="1"/>
  <c r="D154" i="1"/>
  <c r="D140" i="1"/>
  <c r="D125" i="1"/>
  <c r="D171" i="1"/>
  <c r="D126" i="1"/>
  <c r="D163" i="1"/>
  <c r="D87" i="1"/>
  <c r="D166" i="1"/>
  <c r="D109" i="1"/>
  <c r="D145" i="1"/>
  <c r="D118" i="1"/>
  <c r="D81" i="1"/>
  <c r="D152" i="1"/>
  <c r="D75" i="1"/>
  <c r="D101" i="1"/>
  <c r="D94" i="1"/>
  <c r="D130" i="1"/>
  <c r="D162" i="1"/>
  <c r="D156" i="1"/>
  <c r="D148" i="1"/>
  <c r="D110" i="1"/>
  <c r="D133" i="1"/>
  <c r="D98" i="1"/>
  <c r="D106" i="1"/>
  <c r="D136" i="1"/>
  <c r="D88" i="1"/>
  <c r="D160" i="1"/>
  <c r="D90" i="1"/>
  <c r="D74" i="1"/>
  <c r="D77" i="1"/>
  <c r="D135" i="1"/>
  <c r="D96" i="1"/>
  <c r="D147" i="1"/>
  <c r="D141" i="1"/>
  <c r="D164" i="1"/>
  <c r="D151" i="1"/>
  <c r="D92" i="1"/>
  <c r="D169" i="1"/>
  <c r="D104" i="1"/>
  <c r="D97" i="1"/>
  <c r="D84" i="1"/>
  <c r="D91" i="1"/>
  <c r="D86" i="1"/>
  <c r="D139" i="1"/>
  <c r="D99" i="1"/>
  <c r="D168" i="1"/>
  <c r="D158" i="1"/>
  <c r="D138" i="1"/>
  <c r="D157" i="1"/>
  <c r="D144" i="1"/>
  <c r="D127" i="1"/>
  <c r="D143" i="1"/>
  <c r="D113" i="1"/>
  <c r="D80" i="1"/>
  <c r="D107" i="1"/>
  <c r="D105" i="1"/>
  <c r="D115" i="1"/>
  <c r="D161" i="1"/>
  <c r="D172" i="1"/>
  <c r="D165" i="1"/>
  <c r="D149" i="1"/>
  <c r="D132" i="1"/>
  <c r="D142" i="1"/>
  <c r="D85" i="1"/>
  <c r="D83" i="1"/>
  <c r="D137" i="1"/>
  <c r="F45" i="1"/>
  <c r="F65" i="1"/>
  <c r="Q80" i="17" l="1"/>
  <c r="P80" i="17"/>
  <c r="U80" i="17" s="1"/>
  <c r="O81" i="17"/>
  <c r="P81" i="17" s="1"/>
  <c r="U81" i="17" s="1"/>
  <c r="V78" i="17"/>
  <c r="F76" i="1"/>
  <c r="I76" i="1" s="1"/>
  <c r="F126" i="1"/>
  <c r="I126" i="1" s="1"/>
  <c r="G82" i="1"/>
  <c r="G90" i="1"/>
  <c r="G102" i="1"/>
  <c r="G123" i="1"/>
  <c r="F155" i="1"/>
  <c r="I155" i="1" s="1"/>
  <c r="F128" i="1"/>
  <c r="I128" i="1" s="1"/>
  <c r="H128" i="1" s="1"/>
  <c r="G152" i="1"/>
  <c r="F164" i="1"/>
  <c r="I164" i="1" s="1"/>
  <c r="F156" i="1"/>
  <c r="I156" i="1" s="1"/>
  <c r="H156" i="1" s="1"/>
  <c r="G118" i="1"/>
  <c r="F95" i="1"/>
  <c r="I95" i="1" s="1"/>
  <c r="F146" i="1"/>
  <c r="I146" i="1" s="1"/>
  <c r="H146" i="1" s="1"/>
  <c r="G124" i="1"/>
  <c r="G150" i="1"/>
  <c r="F110" i="1"/>
  <c r="I110" i="1" s="1"/>
  <c r="F162" i="1"/>
  <c r="I162" i="1" s="1"/>
  <c r="H162" i="1" s="1"/>
  <c r="G131" i="1"/>
  <c r="F84" i="1"/>
  <c r="I84" i="1" s="1"/>
  <c r="F147" i="1"/>
  <c r="I147" i="1" s="1"/>
  <c r="H147" i="1" s="1"/>
  <c r="F130" i="1"/>
  <c r="I130" i="1" s="1"/>
  <c r="G109" i="1"/>
  <c r="F154" i="1"/>
  <c r="I154" i="1" s="1"/>
  <c r="F120" i="1"/>
  <c r="I120" i="1" s="1"/>
  <c r="F153" i="1"/>
  <c r="I153" i="1" s="1"/>
  <c r="H153" i="1" s="1"/>
  <c r="F103" i="1"/>
  <c r="I103" i="1" s="1"/>
  <c r="F134" i="1"/>
  <c r="I134" i="1" s="1"/>
  <c r="H134" i="1" s="1"/>
  <c r="G97" i="1"/>
  <c r="F106" i="1"/>
  <c r="I106" i="1" s="1"/>
  <c r="F166" i="1"/>
  <c r="I166" i="1" s="1"/>
  <c r="G89" i="1"/>
  <c r="F112" i="1"/>
  <c r="I112" i="1" s="1"/>
  <c r="G121" i="1"/>
  <c r="F135" i="1"/>
  <c r="I135" i="1" s="1"/>
  <c r="H135" i="1" s="1"/>
  <c r="F87" i="1"/>
  <c r="I87" i="1" s="1"/>
  <c r="F100" i="1"/>
  <c r="I100" i="1" s="1"/>
  <c r="F170" i="1"/>
  <c r="I170" i="1" s="1"/>
  <c r="F159" i="1"/>
  <c r="I159" i="1" s="1"/>
  <c r="G128" i="1"/>
  <c r="G159" i="1"/>
  <c r="G155" i="1"/>
  <c r="F121" i="1"/>
  <c r="I121" i="1" s="1"/>
  <c r="F82" i="1"/>
  <c r="I82" i="1" s="1"/>
  <c r="F124" i="1"/>
  <c r="I124" i="1" s="1"/>
  <c r="H124" i="1" s="1"/>
  <c r="G87" i="1"/>
  <c r="F89" i="1"/>
  <c r="I89" i="1" s="1"/>
  <c r="H89" i="1" s="1"/>
  <c r="F150" i="1"/>
  <c r="I150" i="1" s="1"/>
  <c r="G112" i="1"/>
  <c r="F123" i="1"/>
  <c r="I123" i="1" s="1"/>
  <c r="H123" i="1" s="1"/>
  <c r="G103" i="1"/>
  <c r="G136" i="1"/>
  <c r="F136" i="1"/>
  <c r="I136" i="1" s="1"/>
  <c r="G154" i="1"/>
  <c r="F74" i="1"/>
  <c r="I74" i="1" s="1"/>
  <c r="H74" i="1" s="1"/>
  <c r="G171" i="1"/>
  <c r="F98" i="1"/>
  <c r="I98" i="1" s="1"/>
  <c r="G165" i="1"/>
  <c r="F143" i="1"/>
  <c r="I143" i="1" s="1"/>
  <c r="G139" i="1"/>
  <c r="G151" i="1"/>
  <c r="F90" i="1"/>
  <c r="I90" i="1" s="1"/>
  <c r="G148" i="1"/>
  <c r="G81" i="1"/>
  <c r="G93" i="1"/>
  <c r="G134" i="1"/>
  <c r="F111" i="1"/>
  <c r="I111" i="1" s="1"/>
  <c r="F86" i="1"/>
  <c r="I86" i="1" s="1"/>
  <c r="G164" i="1"/>
  <c r="F160" i="1"/>
  <c r="I160" i="1" s="1"/>
  <c r="G156" i="1"/>
  <c r="F118" i="1"/>
  <c r="I118" i="1" s="1"/>
  <c r="H118" i="1" s="1"/>
  <c r="G125" i="1"/>
  <c r="F102" i="1"/>
  <c r="I102" i="1" s="1"/>
  <c r="G145" i="1"/>
  <c r="G140" i="1"/>
  <c r="G95" i="1"/>
  <c r="G146" i="1"/>
  <c r="F115" i="1"/>
  <c r="I115" i="1" s="1"/>
  <c r="G157" i="1"/>
  <c r="G84" i="1"/>
  <c r="G147" i="1"/>
  <c r="G130" i="1"/>
  <c r="F109" i="1"/>
  <c r="I109" i="1" s="1"/>
  <c r="G122" i="1"/>
  <c r="F131" i="1"/>
  <c r="I131" i="1" s="1"/>
  <c r="H131" i="1" s="1"/>
  <c r="G100" i="1"/>
  <c r="F105" i="1"/>
  <c r="I105" i="1" s="1"/>
  <c r="G138" i="1"/>
  <c r="F97" i="1"/>
  <c r="I97" i="1" s="1"/>
  <c r="F96" i="1"/>
  <c r="I96" i="1" s="1"/>
  <c r="G106" i="1"/>
  <c r="F94" i="1"/>
  <c r="I94" i="1" s="1"/>
  <c r="G166" i="1"/>
  <c r="G129" i="1"/>
  <c r="G120" i="1"/>
  <c r="G117" i="1"/>
  <c r="G153" i="1"/>
  <c r="F142" i="1"/>
  <c r="I142" i="1" s="1"/>
  <c r="G107" i="1"/>
  <c r="F158" i="1"/>
  <c r="I158" i="1" s="1"/>
  <c r="H158" i="1" s="1"/>
  <c r="G104" i="1"/>
  <c r="G135" i="1"/>
  <c r="G101" i="1"/>
  <c r="G132" i="1"/>
  <c r="F80" i="1"/>
  <c r="I80" i="1" s="1"/>
  <c r="F77" i="1"/>
  <c r="I77" i="1" s="1"/>
  <c r="G133" i="1"/>
  <c r="G163" i="1"/>
  <c r="F119" i="1"/>
  <c r="I119" i="1" s="1"/>
  <c r="F78" i="1"/>
  <c r="I78" i="1" s="1"/>
  <c r="G114" i="1"/>
  <c r="F107" i="1"/>
  <c r="I107" i="1" s="1"/>
  <c r="G98" i="1"/>
  <c r="F101" i="1"/>
  <c r="I101" i="1" s="1"/>
  <c r="G149" i="1"/>
  <c r="G113" i="1"/>
  <c r="F99" i="1"/>
  <c r="I99" i="1" s="1"/>
  <c r="F92" i="1"/>
  <c r="I92" i="1" s="1"/>
  <c r="G110" i="1"/>
  <c r="F152" i="1"/>
  <c r="I152" i="1" s="1"/>
  <c r="H152" i="1" s="1"/>
  <c r="G126" i="1"/>
  <c r="F163" i="1"/>
  <c r="I163" i="1" s="1"/>
  <c r="G78" i="1"/>
  <c r="F114" i="1"/>
  <c r="I114" i="1" s="1"/>
  <c r="H114" i="1" s="1"/>
  <c r="G119" i="1"/>
  <c r="F139" i="1"/>
  <c r="I139" i="1" s="1"/>
  <c r="F148" i="1"/>
  <c r="I148" i="1" s="1"/>
  <c r="H148" i="1" s="1"/>
  <c r="G105" i="1"/>
  <c r="F149" i="1"/>
  <c r="I149" i="1" s="1"/>
  <c r="F117" i="1"/>
  <c r="I117" i="1" s="1"/>
  <c r="F129" i="1"/>
  <c r="I129" i="1" s="1"/>
  <c r="F171" i="1"/>
  <c r="I171" i="1" s="1"/>
  <c r="F81" i="1"/>
  <c r="I81" i="1" s="1"/>
  <c r="G96" i="1"/>
  <c r="G94" i="1"/>
  <c r="G170" i="1"/>
  <c r="G143" i="1"/>
  <c r="F93" i="1"/>
  <c r="I93" i="1" s="1"/>
  <c r="F172" i="1"/>
  <c r="I172" i="1" s="1"/>
  <c r="G99" i="1"/>
  <c r="G111" i="1"/>
  <c r="F138" i="1"/>
  <c r="I138" i="1" s="1"/>
  <c r="F151" i="1"/>
  <c r="I151" i="1" s="1"/>
  <c r="F173" i="1"/>
  <c r="I173" i="1" s="1"/>
  <c r="F157" i="1"/>
  <c r="I157" i="1" s="1"/>
  <c r="G92" i="1"/>
  <c r="F104" i="1"/>
  <c r="I104" i="1" s="1"/>
  <c r="G115" i="1"/>
  <c r="F165" i="1"/>
  <c r="I165" i="1" s="1"/>
  <c r="F127" i="1"/>
  <c r="I127" i="1" s="1"/>
  <c r="H127" i="1" s="1"/>
  <c r="G158" i="1"/>
  <c r="F113" i="1"/>
  <c r="I113" i="1" s="1"/>
  <c r="G172" i="1"/>
  <c r="G127" i="1"/>
  <c r="F125" i="1"/>
  <c r="I125" i="1" s="1"/>
  <c r="G86" i="1"/>
  <c r="G160" i="1"/>
  <c r="G142" i="1"/>
  <c r="G74" i="1"/>
  <c r="G80" i="1"/>
  <c r="F108" i="1"/>
  <c r="I108" i="1" s="1"/>
  <c r="F122" i="1"/>
  <c r="I122" i="1" s="1"/>
  <c r="F141" i="1"/>
  <c r="I141" i="1" s="1"/>
  <c r="G75" i="1"/>
  <c r="G141" i="1"/>
  <c r="G88" i="1"/>
  <c r="G91" i="1"/>
  <c r="F132" i="1"/>
  <c r="I132" i="1" s="1"/>
  <c r="H132" i="1" s="1"/>
  <c r="F140" i="1"/>
  <c r="I140" i="1" s="1"/>
  <c r="F75" i="1"/>
  <c r="I75" i="1" s="1"/>
  <c r="G161" i="1"/>
  <c r="F88" i="1"/>
  <c r="I88" i="1" s="1"/>
  <c r="H88" i="1" s="1"/>
  <c r="F116" i="1"/>
  <c r="I116" i="1" s="1"/>
  <c r="F133" i="1"/>
  <c r="I133" i="1" s="1"/>
  <c r="H133" i="1" s="1"/>
  <c r="F167" i="1"/>
  <c r="I167" i="1" s="1"/>
  <c r="H167" i="1" s="1"/>
  <c r="G79" i="1"/>
  <c r="G77" i="1"/>
  <c r="G116" i="1"/>
  <c r="G168" i="1"/>
  <c r="G162" i="1"/>
  <c r="G108" i="1"/>
  <c r="G169" i="1"/>
  <c r="F144" i="1"/>
  <c r="I144" i="1" s="1"/>
  <c r="F168" i="1"/>
  <c r="I168" i="1" s="1"/>
  <c r="H168" i="1" s="1"/>
  <c r="F91" i="1"/>
  <c r="I91" i="1" s="1"/>
  <c r="F79" i="1"/>
  <c r="I79" i="1" s="1"/>
  <c r="G173" i="1"/>
  <c r="F145" i="1"/>
  <c r="I145" i="1" s="1"/>
  <c r="F161" i="1"/>
  <c r="I161" i="1" s="1"/>
  <c r="H161" i="1" s="1"/>
  <c r="F169" i="1"/>
  <c r="I169" i="1" s="1"/>
  <c r="H169" i="1" s="1"/>
  <c r="G76" i="1"/>
  <c r="G144" i="1"/>
  <c r="G167" i="1"/>
  <c r="G85" i="1"/>
  <c r="F85" i="1"/>
  <c r="I85" i="1" s="1"/>
  <c r="H85" i="1" s="1"/>
  <c r="G137" i="1"/>
  <c r="F83" i="1"/>
  <c r="I83" i="1" s="1"/>
  <c r="G83" i="1"/>
  <c r="F137" i="1"/>
  <c r="I137" i="1" s="1"/>
  <c r="H137" i="1" s="1"/>
  <c r="H112" i="1" l="1"/>
  <c r="H104" i="1"/>
  <c r="H163" i="1"/>
  <c r="H159" i="1"/>
  <c r="H166" i="1"/>
  <c r="H155" i="1"/>
  <c r="H172" i="1"/>
  <c r="H164" i="1"/>
  <c r="H173" i="1"/>
  <c r="H165" i="1"/>
  <c r="H160" i="1"/>
  <c r="H170" i="1"/>
  <c r="H171" i="1"/>
  <c r="H154" i="1"/>
  <c r="H102" i="1"/>
  <c r="H141" i="1"/>
  <c r="H140" i="1"/>
  <c r="H149" i="1"/>
  <c r="H144" i="1"/>
  <c r="H151" i="1"/>
  <c r="H150" i="1"/>
  <c r="H138" i="1"/>
  <c r="H142" i="1"/>
  <c r="H143" i="1"/>
  <c r="H145" i="1"/>
  <c r="H136" i="1"/>
  <c r="H129" i="1"/>
  <c r="H122" i="1"/>
  <c r="H117" i="1"/>
  <c r="H121" i="1"/>
  <c r="H126" i="1"/>
  <c r="H120" i="1"/>
  <c r="H115" i="1"/>
  <c r="H116" i="1"/>
  <c r="H119" i="1"/>
  <c r="H106" i="1"/>
  <c r="H130" i="1"/>
  <c r="H125" i="1"/>
  <c r="H97" i="1"/>
  <c r="H109" i="1"/>
  <c r="H101" i="1"/>
  <c r="H111" i="1"/>
  <c r="H103" i="1"/>
  <c r="H108" i="1"/>
  <c r="H113" i="1"/>
  <c r="H107" i="1"/>
  <c r="H98" i="1"/>
  <c r="H110" i="1"/>
  <c r="H99" i="1"/>
  <c r="H100" i="1"/>
  <c r="H95" i="1"/>
  <c r="H94" i="1"/>
  <c r="H157" i="1"/>
  <c r="H84" i="1"/>
  <c r="H82" i="1"/>
  <c r="H87" i="1"/>
  <c r="H75" i="1"/>
  <c r="H76" i="1"/>
  <c r="H79" i="1"/>
  <c r="H93" i="1"/>
  <c r="H77" i="1"/>
  <c r="H92" i="1"/>
  <c r="H78" i="1"/>
  <c r="H80" i="1"/>
  <c r="H83" i="1"/>
  <c r="H81" i="1"/>
  <c r="H90" i="1"/>
  <c r="O82" i="17"/>
  <c r="P82" i="17" s="1"/>
  <c r="U82" i="17" s="1"/>
  <c r="Q81" i="17"/>
  <c r="T81" i="17"/>
  <c r="V81" i="17" s="1"/>
  <c r="I20" i="1"/>
  <c r="K11" i="1"/>
  <c r="K12" i="1"/>
  <c r="E11" i="1"/>
  <c r="E22" i="1"/>
  <c r="M159" i="1"/>
  <c r="M19" i="1"/>
  <c r="M155" i="1"/>
  <c r="K21" i="1"/>
  <c r="I11" i="1"/>
  <c r="M165" i="1"/>
  <c r="E14" i="1"/>
  <c r="I12" i="1"/>
  <c r="I24" i="1"/>
  <c r="M160" i="1"/>
  <c r="E23" i="1"/>
  <c r="M23" i="1"/>
  <c r="I23" i="1"/>
  <c r="M146" i="1"/>
  <c r="M7" i="1"/>
  <c r="M171" i="1"/>
  <c r="I7" i="1"/>
  <c r="M11" i="1"/>
  <c r="G7" i="1"/>
  <c r="M136" i="1"/>
  <c r="M124" i="1"/>
  <c r="G13" i="1"/>
  <c r="M147" i="1"/>
  <c r="M151" i="1"/>
  <c r="M150" i="1"/>
  <c r="I18" i="1"/>
  <c r="G17" i="1"/>
  <c r="M172" i="1"/>
  <c r="I22" i="1"/>
  <c r="E19" i="1"/>
  <c r="E20" i="1"/>
  <c r="K7" i="1"/>
  <c r="E17" i="1"/>
  <c r="G18" i="1"/>
  <c r="E26" i="1"/>
  <c r="I10" i="1"/>
  <c r="M163" i="1"/>
  <c r="G14" i="1"/>
  <c r="E10" i="1"/>
  <c r="M142" i="1"/>
  <c r="G9" i="1"/>
  <c r="K16" i="1"/>
  <c r="M121" i="1"/>
  <c r="M128" i="1"/>
  <c r="G21" i="1"/>
  <c r="M10" i="1"/>
  <c r="M149" i="1"/>
  <c r="E13" i="1"/>
  <c r="G15" i="1"/>
  <c r="I16" i="1"/>
  <c r="K26" i="1"/>
  <c r="M15" i="1"/>
  <c r="M17" i="1"/>
  <c r="M126" i="1"/>
  <c r="G26" i="1"/>
  <c r="M26" i="1"/>
  <c r="K25" i="1"/>
  <c r="G25" i="1"/>
  <c r="M120" i="1"/>
  <c r="G23" i="1"/>
  <c r="E7" i="1"/>
  <c r="M139" i="1"/>
  <c r="M127" i="1"/>
  <c r="M135" i="1"/>
  <c r="K8" i="1"/>
  <c r="M156" i="1"/>
  <c r="M9" i="1"/>
  <c r="G16" i="1"/>
  <c r="M137" i="1"/>
  <c r="H176" i="1" l="1"/>
  <c r="R9" i="1" s="1"/>
  <c r="D8" i="19" s="1"/>
  <c r="Q82" i="17"/>
  <c r="T82" i="17"/>
  <c r="V82" i="17" s="1"/>
  <c r="O83" i="17"/>
  <c r="M138" i="1"/>
  <c r="N160" i="1"/>
  <c r="M131" i="1"/>
  <c r="M166" i="1"/>
  <c r="R160" i="1"/>
  <c r="S160" i="1" s="1"/>
  <c r="M13" i="1"/>
  <c r="M8" i="1"/>
  <c r="M118" i="1"/>
  <c r="N172" i="1"/>
  <c r="K23" i="1"/>
  <c r="I17" i="1"/>
  <c r="M130" i="1"/>
  <c r="M25" i="1"/>
  <c r="K24" i="1"/>
  <c r="I8" i="1"/>
  <c r="R172" i="1"/>
  <c r="S172" i="1" s="1"/>
  <c r="G24" i="1"/>
  <c r="N128" i="1"/>
  <c r="E25" i="1"/>
  <c r="R165" i="1"/>
  <c r="S165" i="1" s="1"/>
  <c r="M16" i="1"/>
  <c r="M24" i="1"/>
  <c r="G8" i="1"/>
  <c r="N120" i="1"/>
  <c r="M158" i="1"/>
  <c r="K22" i="1"/>
  <c r="M125" i="1"/>
  <c r="M170" i="1"/>
  <c r="M134" i="1"/>
  <c r="R120" i="1"/>
  <c r="S120" i="1" s="1"/>
  <c r="K15" i="1"/>
  <c r="I19" i="1"/>
  <c r="G10" i="1"/>
  <c r="M162" i="1"/>
  <c r="M157" i="1"/>
  <c r="M148" i="1"/>
  <c r="M173" i="1"/>
  <c r="E15" i="1"/>
  <c r="I13" i="1"/>
  <c r="K20" i="1"/>
  <c r="K9" i="1"/>
  <c r="M18" i="1"/>
  <c r="N165" i="1"/>
  <c r="M164" i="1"/>
  <c r="M12" i="1"/>
  <c r="G22" i="1"/>
  <c r="M123" i="1"/>
  <c r="G20" i="1"/>
  <c r="N147" i="1"/>
  <c r="R147" i="1"/>
  <c r="S147" i="1" s="1"/>
  <c r="M119" i="1"/>
  <c r="M154" i="1"/>
  <c r="M117" i="1"/>
  <c r="M143" i="1"/>
  <c r="M152" i="1"/>
  <c r="G12" i="1"/>
  <c r="N146" i="1"/>
  <c r="R146" i="1"/>
  <c r="S146" i="1" s="1"/>
  <c r="M129" i="1"/>
  <c r="I14" i="1"/>
  <c r="K19" i="1"/>
  <c r="R128" i="1"/>
  <c r="S128" i="1" s="1"/>
  <c r="E9" i="1"/>
  <c r="G11" i="1"/>
  <c r="G19" i="1"/>
  <c r="M153" i="1"/>
  <c r="I21" i="1"/>
  <c r="R136" i="1"/>
  <c r="S136" i="1" s="1"/>
  <c r="N121" i="1"/>
  <c r="R149" i="1"/>
  <c r="S149" i="1" s="1"/>
  <c r="R156" i="1"/>
  <c r="S156" i="1" s="1"/>
  <c r="R135" i="1"/>
  <c r="S135" i="1" s="1"/>
  <c r="R151" i="1"/>
  <c r="S151" i="1" s="1"/>
  <c r="N127" i="1"/>
  <c r="N163" i="1"/>
  <c r="R142" i="1"/>
  <c r="S142" i="1" s="1"/>
  <c r="N159" i="1"/>
  <c r="N155" i="1"/>
  <c r="R126" i="1"/>
  <c r="S126" i="1" s="1"/>
  <c r="N139" i="1"/>
  <c r="N156" i="1"/>
  <c r="R127" i="1"/>
  <c r="S127" i="1" s="1"/>
  <c r="N151" i="1"/>
  <c r="R159" i="1"/>
  <c r="S159" i="1" s="1"/>
  <c r="N135" i="1"/>
  <c r="N126" i="1"/>
  <c r="R139" i="1"/>
  <c r="S139" i="1" s="1"/>
  <c r="N142" i="1"/>
  <c r="N136" i="1"/>
  <c r="K10" i="1"/>
  <c r="R155" i="1"/>
  <c r="S155" i="1" s="1"/>
  <c r="N171" i="1"/>
  <c r="N124" i="1"/>
  <c r="R124" i="1"/>
  <c r="R171" i="1"/>
  <c r="S171" i="1" s="1"/>
  <c r="N150" i="1"/>
  <c r="R150" i="1"/>
  <c r="R163" i="1"/>
  <c r="S163" i="1" s="1"/>
  <c r="E16" i="1"/>
  <c r="R121" i="1"/>
  <c r="S121" i="1" s="1"/>
  <c r="N149" i="1"/>
  <c r="M20" i="1"/>
  <c r="M167" i="1"/>
  <c r="K18" i="1"/>
  <c r="M145" i="1"/>
  <c r="M141" i="1"/>
  <c r="K14" i="1"/>
  <c r="I15" i="1"/>
  <c r="M122" i="1"/>
  <c r="I25" i="1"/>
  <c r="M132" i="1"/>
  <c r="K13" i="1"/>
  <c r="M140" i="1"/>
  <c r="E21" i="1"/>
  <c r="E8" i="1"/>
  <c r="M161" i="1"/>
  <c r="M14" i="1"/>
  <c r="M168" i="1"/>
  <c r="M21" i="1"/>
  <c r="I9" i="1"/>
  <c r="M116" i="1"/>
  <c r="K17" i="1"/>
  <c r="M144" i="1"/>
  <c r="M133" i="1"/>
  <c r="I26" i="1"/>
  <c r="M22" i="1"/>
  <c r="M169" i="1"/>
  <c r="E18" i="1"/>
  <c r="E24" i="1"/>
  <c r="E12" i="1"/>
  <c r="R137" i="1"/>
  <c r="N137" i="1"/>
  <c r="Q22" i="1" l="1"/>
  <c r="C21" i="19" s="1"/>
  <c r="Q21" i="1"/>
  <c r="C20" i="19" s="1"/>
  <c r="S22" i="1"/>
  <c r="E21" i="19" s="1"/>
  <c r="S14" i="1"/>
  <c r="E13" i="19" s="1"/>
  <c r="S6" i="1"/>
  <c r="E5" i="19" s="1"/>
  <c r="S10" i="1"/>
  <c r="E9" i="19" s="1"/>
  <c r="S9" i="1"/>
  <c r="E8" i="19" s="1"/>
  <c r="S8" i="1"/>
  <c r="E7" i="19" s="1"/>
  <c r="S7" i="1"/>
  <c r="E6" i="19" s="1"/>
  <c r="S21" i="1"/>
  <c r="E20" i="19" s="1"/>
  <c r="S13" i="1"/>
  <c r="E12" i="19" s="1"/>
  <c r="S5" i="1"/>
  <c r="E4" i="19" s="1"/>
  <c r="S18" i="1"/>
  <c r="E17" i="19" s="1"/>
  <c r="S16" i="1"/>
  <c r="E15" i="19" s="1"/>
  <c r="S20" i="1"/>
  <c r="E19" i="19" s="1"/>
  <c r="S12" i="1"/>
  <c r="E11" i="19" s="1"/>
  <c r="S4" i="1"/>
  <c r="E3" i="19" s="1"/>
  <c r="S11" i="1"/>
  <c r="E10" i="19" s="1"/>
  <c r="S17" i="1"/>
  <c r="E16" i="19" s="1"/>
  <c r="S15" i="1"/>
  <c r="E14" i="19" s="1"/>
  <c r="S19" i="1"/>
  <c r="E18" i="19" s="1"/>
  <c r="R22" i="1"/>
  <c r="D21" i="19" s="1"/>
  <c r="R14" i="1"/>
  <c r="D13" i="19" s="1"/>
  <c r="R21" i="1"/>
  <c r="D20" i="19" s="1"/>
  <c r="R13" i="1"/>
  <c r="D12" i="19" s="1"/>
  <c r="R15" i="1"/>
  <c r="D14" i="19" s="1"/>
  <c r="R20" i="1"/>
  <c r="D19" i="19" s="1"/>
  <c r="R19" i="1"/>
  <c r="D18" i="19" s="1"/>
  <c r="R18" i="1"/>
  <c r="D17" i="19" s="1"/>
  <c r="R17" i="1"/>
  <c r="D16" i="19" s="1"/>
  <c r="R16" i="1"/>
  <c r="D15" i="19" s="1"/>
  <c r="R11" i="1"/>
  <c r="D10" i="19" s="1"/>
  <c r="R7" i="1"/>
  <c r="D6" i="19" s="1"/>
  <c r="R8" i="1"/>
  <c r="D7" i="19" s="1"/>
  <c r="R10" i="1"/>
  <c r="D9" i="19" s="1"/>
  <c r="R6" i="1"/>
  <c r="D5" i="19" s="1"/>
  <c r="R4" i="1"/>
  <c r="D3" i="19" s="1"/>
  <c r="R5" i="1"/>
  <c r="D4" i="19" s="1"/>
  <c r="T20" i="1"/>
  <c r="F19" i="19" s="1"/>
  <c r="T12" i="1"/>
  <c r="F11" i="19" s="1"/>
  <c r="T8" i="1"/>
  <c r="F7" i="19" s="1"/>
  <c r="T10" i="1"/>
  <c r="F9" i="19" s="1"/>
  <c r="T21" i="1"/>
  <c r="F20" i="19" s="1"/>
  <c r="T17" i="1"/>
  <c r="F16" i="19" s="1"/>
  <c r="T13" i="1"/>
  <c r="F12" i="19" s="1"/>
  <c r="T9" i="1"/>
  <c r="F8" i="19" s="1"/>
  <c r="T5" i="1"/>
  <c r="F4" i="19" s="1"/>
  <c r="T16" i="1"/>
  <c r="F15" i="19" s="1"/>
  <c r="T4" i="1"/>
  <c r="F3" i="19" s="1"/>
  <c r="T22" i="1"/>
  <c r="F21" i="19" s="1"/>
  <c r="T18" i="1"/>
  <c r="F17" i="19" s="1"/>
  <c r="T19" i="1"/>
  <c r="F18" i="19" s="1"/>
  <c r="T15" i="1"/>
  <c r="F14" i="19" s="1"/>
  <c r="T11" i="1"/>
  <c r="F10" i="19" s="1"/>
  <c r="T7" i="1"/>
  <c r="F6" i="19" s="1"/>
  <c r="T14" i="1"/>
  <c r="F13" i="19" s="1"/>
  <c r="T6" i="1"/>
  <c r="F5" i="19" s="1"/>
  <c r="P14" i="1"/>
  <c r="B13" i="19" s="1"/>
  <c r="Q17" i="1"/>
  <c r="C16" i="19" s="1"/>
  <c r="Q13" i="1"/>
  <c r="C12" i="19" s="1"/>
  <c r="Q9" i="1"/>
  <c r="C8" i="19" s="1"/>
  <c r="Q5" i="1"/>
  <c r="C4" i="19" s="1"/>
  <c r="P21" i="1"/>
  <c r="B20" i="19" s="1"/>
  <c r="P17" i="1"/>
  <c r="B16" i="19" s="1"/>
  <c r="P9" i="1"/>
  <c r="B8" i="19" s="1"/>
  <c r="P5" i="1"/>
  <c r="B4" i="19" s="1"/>
  <c r="Q20" i="1"/>
  <c r="C19" i="19" s="1"/>
  <c r="Q16" i="1"/>
  <c r="C15" i="19" s="1"/>
  <c r="Q12" i="1"/>
  <c r="C11" i="19" s="1"/>
  <c r="Q8" i="1"/>
  <c r="C7" i="19" s="1"/>
  <c r="Q4" i="1"/>
  <c r="C3" i="19" s="1"/>
  <c r="P18" i="1"/>
  <c r="B17" i="19" s="1"/>
  <c r="P13" i="1"/>
  <c r="B12" i="19" s="1"/>
  <c r="P20" i="1"/>
  <c r="B19" i="19" s="1"/>
  <c r="P16" i="1"/>
  <c r="B15" i="19" s="1"/>
  <c r="P12" i="1"/>
  <c r="B11" i="19" s="1"/>
  <c r="P8" i="1"/>
  <c r="B7" i="19" s="1"/>
  <c r="P4" i="1"/>
  <c r="B3" i="19" s="1"/>
  <c r="Q19" i="1"/>
  <c r="C18" i="19" s="1"/>
  <c r="Q15" i="1"/>
  <c r="C14" i="19" s="1"/>
  <c r="Q11" i="1"/>
  <c r="C10" i="19" s="1"/>
  <c r="Q7" i="1"/>
  <c r="C6" i="19" s="1"/>
  <c r="P6" i="1"/>
  <c r="B5" i="19" s="1"/>
  <c r="P19" i="1"/>
  <c r="B18" i="19" s="1"/>
  <c r="P15" i="1"/>
  <c r="B14" i="19" s="1"/>
  <c r="P11" i="1"/>
  <c r="B10" i="19" s="1"/>
  <c r="P7" i="1"/>
  <c r="B6" i="19" s="1"/>
  <c r="Q18" i="1"/>
  <c r="C17" i="19" s="1"/>
  <c r="Q14" i="1"/>
  <c r="C13" i="19" s="1"/>
  <c r="Q10" i="1"/>
  <c r="C9" i="19" s="1"/>
  <c r="Q6" i="1"/>
  <c r="C5" i="19" s="1"/>
  <c r="P22" i="1"/>
  <c r="B21" i="19" s="1"/>
  <c r="P10" i="1"/>
  <c r="B9" i="19" s="1"/>
  <c r="S3" i="1"/>
  <c r="E2" i="19" s="1"/>
  <c r="T3" i="1"/>
  <c r="F2" i="19" s="1"/>
  <c r="Q3" i="1"/>
  <c r="C2" i="19" s="1"/>
  <c r="R3" i="1"/>
  <c r="D2" i="19" s="1"/>
  <c r="P3" i="1"/>
  <c r="B2" i="19" s="1"/>
  <c r="O84" i="17"/>
  <c r="P84" i="17" s="1"/>
  <c r="U84" i="17" s="1"/>
  <c r="T83" i="17"/>
  <c r="P83" i="17"/>
  <c r="Q83" i="17"/>
  <c r="R138" i="1"/>
  <c r="S138" i="1" s="1"/>
  <c r="N138" i="1"/>
  <c r="N166" i="1"/>
  <c r="N134" i="1"/>
  <c r="N131" i="1"/>
  <c r="R131" i="1"/>
  <c r="S131" i="1" s="1"/>
  <c r="R166" i="1"/>
  <c r="S166" i="1" s="1"/>
  <c r="R118" i="1"/>
  <c r="S118" i="1" s="1"/>
  <c r="N118" i="1"/>
  <c r="N130" i="1"/>
  <c r="R130" i="1"/>
  <c r="S130" i="1" s="1"/>
  <c r="N158" i="1"/>
  <c r="R123" i="1"/>
  <c r="S123" i="1" s="1"/>
  <c r="R125" i="1"/>
  <c r="S125" i="1" s="1"/>
  <c r="N125" i="1"/>
  <c r="N170" i="1"/>
  <c r="R134" i="1"/>
  <c r="S134" i="1" s="1"/>
  <c r="R170" i="1"/>
  <c r="S170" i="1" s="1"/>
  <c r="R158" i="1"/>
  <c r="S158" i="1" s="1"/>
  <c r="N129" i="1"/>
  <c r="R119" i="1"/>
  <c r="S119" i="1" s="1"/>
  <c r="N119" i="1"/>
  <c r="R157" i="1"/>
  <c r="S157" i="1" s="1"/>
  <c r="N157" i="1"/>
  <c r="R153" i="1"/>
  <c r="S153" i="1" s="1"/>
  <c r="N173" i="1"/>
  <c r="N153" i="1"/>
  <c r="R173" i="1"/>
  <c r="S173" i="1" s="1"/>
  <c r="R148" i="1"/>
  <c r="S148" i="1" s="1"/>
  <c r="N148" i="1"/>
  <c r="N164" i="1"/>
  <c r="R164" i="1"/>
  <c r="S164" i="1" s="1"/>
  <c r="N152" i="1"/>
  <c r="R129" i="1"/>
  <c r="S129" i="1" s="1"/>
  <c r="R152" i="1"/>
  <c r="S152" i="1" s="1"/>
  <c r="N117" i="1"/>
  <c r="R162" i="1"/>
  <c r="S162" i="1" s="1"/>
  <c r="N162" i="1"/>
  <c r="R117" i="1"/>
  <c r="S117" i="1" s="1"/>
  <c r="N143" i="1"/>
  <c r="R143" i="1"/>
  <c r="S143" i="1" s="1"/>
  <c r="N123" i="1"/>
  <c r="R154" i="1"/>
  <c r="S154" i="1" s="1"/>
  <c r="N154" i="1"/>
  <c r="S150" i="1"/>
  <c r="S124" i="1"/>
  <c r="N161" i="1"/>
  <c r="R161" i="1"/>
  <c r="R133" i="1"/>
  <c r="N133" i="1"/>
  <c r="R116" i="1"/>
  <c r="N116" i="1"/>
  <c r="N168" i="1"/>
  <c r="R168" i="1"/>
  <c r="R141" i="1"/>
  <c r="N141" i="1"/>
  <c r="R169" i="1"/>
  <c r="N169" i="1"/>
  <c r="N132" i="1"/>
  <c r="R132" i="1"/>
  <c r="R122" i="1"/>
  <c r="N122" i="1"/>
  <c r="R145" i="1"/>
  <c r="N145" i="1"/>
  <c r="S137" i="1"/>
  <c r="R144" i="1"/>
  <c r="N144" i="1"/>
  <c r="N140" i="1"/>
  <c r="R140" i="1"/>
  <c r="N167" i="1"/>
  <c r="R167" i="1"/>
  <c r="Q84" i="17" l="1"/>
  <c r="T84" i="17"/>
  <c r="V84" i="17" s="1"/>
  <c r="O85" i="17"/>
  <c r="P85" i="17" s="1"/>
  <c r="U85" i="17" s="1"/>
  <c r="U83" i="17"/>
  <c r="V83" i="17"/>
  <c r="S122" i="1"/>
  <c r="S141" i="1"/>
  <c r="S116" i="1"/>
  <c r="S167" i="1"/>
  <c r="S169" i="1"/>
  <c r="S168" i="1"/>
  <c r="S133" i="1"/>
  <c r="S161" i="1"/>
  <c r="S132" i="1"/>
  <c r="S140" i="1"/>
  <c r="S145" i="1"/>
  <c r="S144" i="1"/>
  <c r="O86" i="17" l="1"/>
  <c r="T85" i="17"/>
  <c r="Q85" i="17"/>
  <c r="O87" i="17" l="1"/>
  <c r="Q87" i="17" s="1"/>
  <c r="V85" i="17"/>
  <c r="T86" i="17"/>
  <c r="V86" i="17" s="1"/>
  <c r="Q86" i="17"/>
  <c r="P86" i="17"/>
  <c r="O88" i="17" l="1"/>
  <c r="Q88" i="17" s="1"/>
  <c r="U86" i="17"/>
  <c r="P87" i="17"/>
  <c r="U87" i="17" s="1"/>
  <c r="T87" i="17"/>
  <c r="V87" i="17" s="1"/>
  <c r="O89" i="17" l="1"/>
  <c r="Q89" i="17" s="1"/>
  <c r="P88" i="17"/>
  <c r="U88" i="17" s="1"/>
  <c r="T88" i="17"/>
  <c r="V88" i="17" s="1"/>
  <c r="O90" i="17" l="1"/>
  <c r="T90" i="17" s="1"/>
  <c r="V90" i="17" s="1"/>
  <c r="T89" i="17"/>
  <c r="V89" i="17" s="1"/>
  <c r="P89" i="17"/>
  <c r="U89" i="17" s="1"/>
  <c r="C70" i="1"/>
  <c r="P90" i="17" l="1"/>
  <c r="U90" i="17" s="1"/>
  <c r="Q90" i="17"/>
  <c r="O91" i="17"/>
  <c r="Q91" i="17" s="1"/>
  <c r="C46" i="1"/>
  <c r="C47" i="1" s="1"/>
  <c r="O92" i="17" l="1"/>
  <c r="T92" i="17" s="1"/>
  <c r="V92" i="17" s="1"/>
  <c r="T91" i="17"/>
  <c r="V91" i="17" s="1"/>
  <c r="P91" i="17"/>
  <c r="U91" i="17" s="1"/>
  <c r="D47" i="1"/>
  <c r="E47" i="1"/>
  <c r="F47" i="1" s="1"/>
  <c r="E46" i="1"/>
  <c r="F46" i="1" s="1"/>
  <c r="D46" i="1"/>
  <c r="C48" i="1"/>
  <c r="P92" i="17" l="1"/>
  <c r="U92" i="17" s="1"/>
  <c r="Q92" i="17"/>
  <c r="O93" i="17"/>
  <c r="P93" i="17" s="1"/>
  <c r="U93" i="17" s="1"/>
  <c r="E48" i="1"/>
  <c r="F48" i="1" s="1"/>
  <c r="D48" i="1"/>
  <c r="C49" i="1"/>
  <c r="T93" i="17" l="1"/>
  <c r="V93" i="17" s="1"/>
  <c r="Q93" i="17"/>
  <c r="O94" i="17"/>
  <c r="T94" i="17" s="1"/>
  <c r="V94" i="17" s="1"/>
  <c r="E49" i="1"/>
  <c r="F49" i="1" s="1"/>
  <c r="D49" i="1"/>
  <c r="C50" i="1"/>
  <c r="P94" i="17" l="1"/>
  <c r="U94" i="17" s="1"/>
  <c r="Q94" i="17"/>
  <c r="O95" i="17"/>
  <c r="P95" i="17" s="1"/>
  <c r="U95" i="17" s="1"/>
  <c r="E50" i="1"/>
  <c r="F50" i="1" s="1"/>
  <c r="D50" i="1"/>
  <c r="C51" i="1"/>
  <c r="O96" i="17" l="1"/>
  <c r="Q96" i="17" s="1"/>
  <c r="Q95" i="17"/>
  <c r="T95" i="17"/>
  <c r="V95" i="17" s="1"/>
  <c r="E51" i="1"/>
  <c r="F51" i="1" s="1"/>
  <c r="D51" i="1"/>
  <c r="C52" i="1"/>
  <c r="T96" i="17" l="1"/>
  <c r="V96" i="17" s="1"/>
  <c r="P96" i="17"/>
  <c r="U96" i="17" s="1"/>
  <c r="O98" i="17"/>
  <c r="T98" i="17" s="1"/>
  <c r="V98" i="17" s="1"/>
  <c r="O97" i="17"/>
  <c r="D52" i="1"/>
  <c r="E52" i="1"/>
  <c r="F52" i="1" s="1"/>
  <c r="C53" i="1"/>
  <c r="O99" i="17" l="1"/>
  <c r="P99" i="17" s="1"/>
  <c r="U99" i="17" s="1"/>
  <c r="P98" i="17"/>
  <c r="U98" i="17" s="1"/>
  <c r="T97" i="17"/>
  <c r="V97" i="17" s="1"/>
  <c r="Q97" i="17"/>
  <c r="P97" i="17"/>
  <c r="U97" i="17" s="1"/>
  <c r="Q98" i="17"/>
  <c r="D53" i="1"/>
  <c r="E53" i="1"/>
  <c r="F53" i="1" s="1"/>
  <c r="C54" i="1"/>
  <c r="T99" i="17" l="1"/>
  <c r="V99" i="17" s="1"/>
  <c r="Q99" i="17"/>
  <c r="E54" i="1"/>
  <c r="F54" i="1" s="1"/>
  <c r="D54" i="1"/>
  <c r="C55" i="1"/>
  <c r="D55" i="1" l="1"/>
  <c r="E55" i="1"/>
  <c r="F55" i="1" s="1"/>
  <c r="C56" i="1"/>
  <c r="D56" i="1" l="1"/>
  <c r="E56" i="1"/>
  <c r="F56" i="1" s="1"/>
  <c r="C57" i="1"/>
  <c r="E57" i="1" l="1"/>
  <c r="F57" i="1" s="1"/>
  <c r="D57" i="1"/>
  <c r="C58" i="1"/>
  <c r="E58" i="1" l="1"/>
  <c r="F58" i="1" s="1"/>
  <c r="D58" i="1"/>
  <c r="C59" i="1"/>
  <c r="E59" i="1" l="1"/>
  <c r="F59" i="1" s="1"/>
  <c r="D59" i="1"/>
  <c r="C60" i="1"/>
  <c r="E60" i="1" l="1"/>
  <c r="F60" i="1" s="1"/>
  <c r="D60" i="1"/>
  <c r="C61" i="1"/>
  <c r="D61" i="1" l="1"/>
  <c r="E61" i="1"/>
  <c r="F61" i="1" s="1"/>
  <c r="C62" i="1"/>
  <c r="D62" i="1" l="1"/>
  <c r="E62" i="1"/>
  <c r="F62" i="1" s="1"/>
  <c r="C63" i="1"/>
  <c r="E63" i="1" l="1"/>
  <c r="F63" i="1" s="1"/>
  <c r="D63" i="1"/>
  <c r="C64" i="1"/>
  <c r="E64" i="1" l="1"/>
  <c r="F64" i="1" s="1"/>
  <c r="D64" i="1"/>
  <c r="C44" i="16" l="1"/>
  <c r="E44" i="16" s="1"/>
  <c r="D69" i="16" l="1"/>
  <c r="D45" i="16" s="1"/>
  <c r="C45" i="16" l="1"/>
  <c r="E45" i="16" s="1"/>
  <c r="D46" i="16"/>
  <c r="C46" i="16" l="1"/>
  <c r="E46" i="16" s="1"/>
  <c r="D47" i="16"/>
  <c r="O116" i="1" l="1"/>
  <c r="C47" i="16"/>
  <c r="E47" i="16" s="1"/>
  <c r="D48" i="16"/>
  <c r="C48" i="16" l="1"/>
  <c r="E48" i="16" s="1"/>
  <c r="D49" i="16"/>
  <c r="C49" i="16" l="1"/>
  <c r="E49" i="16" s="1"/>
  <c r="D50" i="16"/>
  <c r="P116" i="1" l="1"/>
  <c r="U116" i="1" s="1"/>
  <c r="Q116" i="1"/>
  <c r="T116" i="1"/>
  <c r="V116" i="1" s="1"/>
  <c r="C50" i="16"/>
  <c r="E50" i="16" s="1"/>
  <c r="D51" i="16"/>
  <c r="D52" i="16" s="1"/>
  <c r="C51" i="16" l="1"/>
  <c r="E51" i="16" s="1"/>
  <c r="C52" i="16" l="1"/>
  <c r="E52" i="16" s="1"/>
  <c r="D53" i="16"/>
  <c r="C53" i="16" l="1"/>
  <c r="E53" i="16" s="1"/>
  <c r="D54" i="16"/>
  <c r="C54" i="16" l="1"/>
  <c r="E54" i="16" s="1"/>
  <c r="D55" i="16"/>
  <c r="C55" i="16" l="1"/>
  <c r="E55" i="16" s="1"/>
  <c r="D56" i="16"/>
  <c r="C56" i="16" l="1"/>
  <c r="E56" i="16" s="1"/>
  <c r="D57" i="16"/>
  <c r="C57" i="16" l="1"/>
  <c r="E57" i="16" s="1"/>
  <c r="D58" i="16"/>
  <c r="C58" i="16" l="1"/>
  <c r="E58" i="16" s="1"/>
  <c r="D59" i="16"/>
  <c r="C59" i="16" l="1"/>
  <c r="E59" i="16" s="1"/>
  <c r="D60" i="16"/>
  <c r="C60" i="16" l="1"/>
  <c r="E60" i="16" s="1"/>
  <c r="D61" i="16"/>
  <c r="C61" i="16" l="1"/>
  <c r="E61" i="16" s="1"/>
  <c r="D62" i="16"/>
  <c r="C62" i="16" l="1"/>
  <c r="E62" i="16" s="1"/>
  <c r="D63" i="16"/>
  <c r="C63" i="16" s="1"/>
  <c r="E63" i="16" s="1"/>
  <c r="F51" i="16" l="1"/>
  <c r="F54" i="16"/>
  <c r="F49" i="16"/>
  <c r="F45" i="16"/>
  <c r="F48" i="16"/>
  <c r="F63" i="16"/>
  <c r="F50" i="16"/>
  <c r="F47" i="16"/>
  <c r="F60" i="16"/>
  <c r="F59" i="16"/>
  <c r="F62" i="16"/>
  <c r="F46" i="16"/>
  <c r="F61" i="16"/>
  <c r="F56" i="16"/>
  <c r="F44" i="16"/>
  <c r="F64" i="16"/>
  <c r="B55" i="16"/>
  <c r="F55" i="16"/>
  <c r="F58" i="16"/>
  <c r="F57" i="16"/>
  <c r="F53" i="16"/>
  <c r="F52" i="16"/>
  <c r="B56" i="16"/>
  <c r="G64" i="16" l="1"/>
  <c r="G47" i="16"/>
  <c r="G44" i="16"/>
  <c r="G63" i="16"/>
  <c r="G50" i="16"/>
  <c r="G61" i="16"/>
  <c r="G48" i="16"/>
  <c r="G52" i="16"/>
  <c r="G46" i="16"/>
  <c r="G45" i="16"/>
  <c r="G56" i="16"/>
  <c r="G57" i="16"/>
  <c r="G62" i="16"/>
  <c r="G59" i="16"/>
  <c r="G54" i="16"/>
  <c r="G53" i="16"/>
  <c r="G58" i="16"/>
  <c r="G49" i="16"/>
  <c r="G55" i="16"/>
  <c r="G60" i="16"/>
  <c r="G51" i="16"/>
  <c r="F7" i="2"/>
  <c r="F7" i="16"/>
  <c r="F7" i="1"/>
  <c r="F7" i="14"/>
  <c r="N26" i="2" l="1"/>
  <c r="N26" i="1" l="1"/>
  <c r="N26" i="16"/>
  <c r="F8" i="2"/>
  <c r="F9" i="2"/>
  <c r="F9" i="1" l="1"/>
  <c r="F9" i="16"/>
  <c r="F8" i="16"/>
  <c r="F8" i="1"/>
  <c r="F10" i="2"/>
  <c r="E9" i="14" l="1"/>
  <c r="E8" i="14"/>
  <c r="F10" i="1"/>
  <c r="F10" i="16"/>
  <c r="F11" i="2"/>
  <c r="F8" i="14" l="1"/>
  <c r="F9" i="14"/>
  <c r="E10" i="14"/>
  <c r="F12" i="2"/>
  <c r="F11" i="16"/>
  <c r="F11" i="1"/>
  <c r="F12" i="16" l="1"/>
  <c r="F12" i="1"/>
  <c r="F13" i="2"/>
  <c r="F14" i="2" l="1"/>
  <c r="F13" i="16"/>
  <c r="F13" i="1"/>
  <c r="F15" i="2" l="1"/>
  <c r="F14" i="1"/>
  <c r="F14" i="16"/>
  <c r="F15" i="1" l="1"/>
  <c r="F15" i="16"/>
  <c r="F16" i="2"/>
  <c r="F17" i="2" l="1"/>
  <c r="F16" i="16"/>
  <c r="F16" i="1"/>
  <c r="F17" i="16" l="1"/>
  <c r="F17" i="1"/>
  <c r="F18" i="2"/>
  <c r="F19" i="2" l="1"/>
  <c r="F18" i="1"/>
  <c r="F18" i="16"/>
  <c r="F19" i="16" l="1"/>
  <c r="F19" i="1"/>
  <c r="F20" i="2"/>
  <c r="F20" i="16" l="1"/>
  <c r="F20" i="1"/>
  <c r="F21" i="2"/>
  <c r="F22" i="2" l="1"/>
  <c r="F21" i="1"/>
  <c r="F21" i="16"/>
  <c r="F22" i="1" l="1"/>
  <c r="F22" i="16"/>
  <c r="F23" i="2"/>
  <c r="F23" i="1" l="1"/>
  <c r="F23" i="16"/>
  <c r="F24" i="2"/>
  <c r="F24" i="1" l="1"/>
  <c r="F24" i="16"/>
  <c r="F25" i="2"/>
  <c r="F25" i="1" l="1"/>
  <c r="F25" i="16"/>
  <c r="F26" i="2"/>
  <c r="H7" i="2" l="1"/>
  <c r="F26" i="1"/>
  <c r="F26" i="16"/>
  <c r="H7" i="1" l="1"/>
  <c r="H7" i="16"/>
  <c r="H8" i="2"/>
  <c r="H8" i="1" l="1"/>
  <c r="H8" i="16"/>
  <c r="H9" i="2"/>
  <c r="H10" i="2" l="1"/>
  <c r="H9" i="16"/>
  <c r="H9" i="1"/>
  <c r="H10" i="16" l="1"/>
  <c r="H10" i="1"/>
  <c r="H11" i="2"/>
  <c r="H11" i="16" l="1"/>
  <c r="H11" i="1"/>
  <c r="H12" i="2"/>
  <c r="H13" i="2" l="1"/>
  <c r="H12" i="16"/>
  <c r="H12" i="1"/>
  <c r="H14" i="2" l="1"/>
  <c r="H13" i="1"/>
  <c r="H13" i="16"/>
  <c r="H14" i="1" l="1"/>
  <c r="H14" i="16"/>
  <c r="H15" i="2"/>
  <c r="H16" i="2" l="1"/>
  <c r="H15" i="16"/>
  <c r="H15" i="1"/>
  <c r="H16" i="16" l="1"/>
  <c r="H16" i="1"/>
  <c r="H17" i="2"/>
  <c r="H18" i="2" l="1"/>
  <c r="H17" i="1"/>
  <c r="H17" i="16"/>
  <c r="H18" i="1" l="1"/>
  <c r="H18" i="16"/>
  <c r="H19" i="2"/>
  <c r="H20" i="2" l="1"/>
  <c r="H19" i="1"/>
  <c r="H19" i="16"/>
  <c r="H21" i="2" l="1"/>
  <c r="H20" i="16"/>
  <c r="H20" i="1"/>
  <c r="H21" i="1" l="1"/>
  <c r="H21" i="16"/>
  <c r="H22" i="2"/>
  <c r="H22" i="1" l="1"/>
  <c r="H22" i="16"/>
  <c r="H23" i="2"/>
  <c r="H23" i="1" l="1"/>
  <c r="H23" i="16"/>
  <c r="H24" i="2"/>
  <c r="H24" i="1" l="1"/>
  <c r="H24" i="16"/>
  <c r="H25" i="2"/>
  <c r="H26" i="2" l="1"/>
  <c r="H25" i="1"/>
  <c r="H25" i="16"/>
  <c r="J7" i="2" l="1"/>
  <c r="H26" i="1"/>
  <c r="H26" i="16"/>
  <c r="J7" i="1" l="1"/>
  <c r="J8" i="2"/>
  <c r="J9" i="2" l="1"/>
  <c r="J8" i="1"/>
  <c r="J9" i="1" l="1"/>
  <c r="J10" i="2"/>
  <c r="J10" i="1" l="1"/>
  <c r="J11" i="2"/>
  <c r="J11" i="1" l="1"/>
  <c r="J12" i="2"/>
  <c r="J12" i="1" l="1"/>
  <c r="J13" i="2"/>
  <c r="J14" i="2" l="1"/>
  <c r="J13" i="1"/>
  <c r="J15" i="2" l="1"/>
  <c r="J14" i="1"/>
  <c r="J15" i="1" l="1"/>
  <c r="J16" i="2"/>
  <c r="J16" i="1" l="1"/>
  <c r="J17" i="2"/>
  <c r="J18" i="2" l="1"/>
  <c r="J17" i="1"/>
  <c r="J19" i="2" l="1"/>
  <c r="J18" i="1"/>
  <c r="J19" i="1" l="1"/>
  <c r="J20" i="2"/>
  <c r="J21" i="2" l="1"/>
  <c r="J20" i="1"/>
  <c r="J21" i="1" l="1"/>
  <c r="J22" i="2"/>
  <c r="J23" i="2" l="1"/>
  <c r="J22" i="1"/>
  <c r="J23" i="1" l="1"/>
  <c r="J24" i="2"/>
  <c r="J24" i="1" l="1"/>
  <c r="J25" i="2"/>
  <c r="J25" i="1" l="1"/>
  <c r="J26" i="2"/>
  <c r="L7" i="2" l="1"/>
  <c r="J26" i="1"/>
  <c r="L7" i="16" l="1"/>
  <c r="L7" i="1"/>
  <c r="L8" i="2"/>
  <c r="L8" i="1" l="1"/>
  <c r="L8" i="16"/>
  <c r="L9" i="2"/>
  <c r="F141" i="16" l="1"/>
  <c r="I141" i="16" s="1"/>
  <c r="H141" i="16" s="1"/>
  <c r="H176" i="16" s="1"/>
  <c r="G141" i="16"/>
  <c r="L9" i="1"/>
  <c r="L9" i="16"/>
  <c r="L10" i="2"/>
  <c r="T16" i="16" l="1"/>
  <c r="F15" i="23" s="1"/>
  <c r="P11" i="16"/>
  <c r="B10" i="23" s="1"/>
  <c r="P22" i="16"/>
  <c r="B21" i="23" s="1"/>
  <c r="P14" i="16"/>
  <c r="B13" i="23" s="1"/>
  <c r="Q14" i="16"/>
  <c r="C13" i="23" s="1"/>
  <c r="Q3" i="16"/>
  <c r="C2" i="23" s="1"/>
  <c r="T8" i="16"/>
  <c r="F7" i="23" s="1"/>
  <c r="P12" i="16"/>
  <c r="B11" i="23" s="1"/>
  <c r="R22" i="16"/>
  <c r="D21" i="23" s="1"/>
  <c r="S22" i="16"/>
  <c r="E21" i="23" s="1"/>
  <c r="Q18" i="16"/>
  <c r="C17" i="23" s="1"/>
  <c r="S3" i="16"/>
  <c r="E2" i="23" s="1"/>
  <c r="Q17" i="16"/>
  <c r="C16" i="23" s="1"/>
  <c r="T6" i="16"/>
  <c r="F5" i="23" s="1"/>
  <c r="P7" i="16"/>
  <c r="B6" i="23" s="1"/>
  <c r="T15" i="16"/>
  <c r="F14" i="23" s="1"/>
  <c r="P19" i="16"/>
  <c r="B18" i="23" s="1"/>
  <c r="Q12" i="16"/>
  <c r="C11" i="23" s="1"/>
  <c r="R16" i="16"/>
  <c r="D15" i="23" s="1"/>
  <c r="T14" i="16"/>
  <c r="F13" i="23" s="1"/>
  <c r="P21" i="16"/>
  <c r="B20" i="23" s="1"/>
  <c r="R6" i="16"/>
  <c r="D5" i="23" s="1"/>
  <c r="S6" i="16"/>
  <c r="E5" i="23" s="1"/>
  <c r="T19" i="16"/>
  <c r="F18" i="23" s="1"/>
  <c r="P3" i="16"/>
  <c r="B2" i="23" s="1"/>
  <c r="Q9" i="16"/>
  <c r="C8" i="23" s="1"/>
  <c r="R5" i="16"/>
  <c r="D4" i="23" s="1"/>
  <c r="Q22" i="16"/>
  <c r="C21" i="23" s="1"/>
  <c r="Q13" i="16"/>
  <c r="C12" i="23" s="1"/>
  <c r="T20" i="16"/>
  <c r="F19" i="23" s="1"/>
  <c r="T10" i="16"/>
  <c r="F9" i="23" s="1"/>
  <c r="T17" i="16"/>
  <c r="F16" i="23" s="1"/>
  <c r="P10" i="16"/>
  <c r="B9" i="23" s="1"/>
  <c r="S14" i="16"/>
  <c r="E13" i="23" s="1"/>
  <c r="P4" i="16"/>
  <c r="B3" i="23" s="1"/>
  <c r="S17" i="16"/>
  <c r="E16" i="23" s="1"/>
  <c r="P17" i="16"/>
  <c r="B16" i="23" s="1"/>
  <c r="Q21" i="16"/>
  <c r="C20" i="23" s="1"/>
  <c r="P18" i="16"/>
  <c r="B17" i="23" s="1"/>
  <c r="S8" i="16"/>
  <c r="E7" i="23" s="1"/>
  <c r="R3" i="16"/>
  <c r="D2" i="23" s="1"/>
  <c r="T22" i="16"/>
  <c r="F21" i="23" s="1"/>
  <c r="P20" i="16"/>
  <c r="B19" i="23" s="1"/>
  <c r="R21" i="16"/>
  <c r="D20" i="23" s="1"/>
  <c r="Q7" i="16"/>
  <c r="C6" i="23" s="1"/>
  <c r="Q5" i="16"/>
  <c r="C4" i="23" s="1"/>
  <c r="T13" i="16"/>
  <c r="F12" i="23" s="1"/>
  <c r="R13" i="16"/>
  <c r="D12" i="23" s="1"/>
  <c r="P9" i="16"/>
  <c r="B8" i="23" s="1"/>
  <c r="S9" i="16"/>
  <c r="E8" i="23" s="1"/>
  <c r="R14" i="16"/>
  <c r="D13" i="23" s="1"/>
  <c r="T5" i="16"/>
  <c r="F4" i="23" s="1"/>
  <c r="P5" i="16"/>
  <c r="B4" i="23" s="1"/>
  <c r="P8" i="16"/>
  <c r="B7" i="23" s="1"/>
  <c r="R10" i="16"/>
  <c r="D9" i="23" s="1"/>
  <c r="R7" i="16"/>
  <c r="D6" i="23" s="1"/>
  <c r="S15" i="16"/>
  <c r="E14" i="23" s="1"/>
  <c r="R18" i="16"/>
  <c r="D17" i="23" s="1"/>
  <c r="R19" i="16"/>
  <c r="D18" i="23" s="1"/>
  <c r="T4" i="16"/>
  <c r="F3" i="23" s="1"/>
  <c r="S18" i="16"/>
  <c r="E17" i="23" s="1"/>
  <c r="P13" i="16"/>
  <c r="B12" i="23" s="1"/>
  <c r="Q11" i="16"/>
  <c r="C10" i="23" s="1"/>
  <c r="R15" i="16"/>
  <c r="D14" i="23" s="1"/>
  <c r="T21" i="16"/>
  <c r="F20" i="23" s="1"/>
  <c r="R8" i="16"/>
  <c r="D7" i="23" s="1"/>
  <c r="S7" i="16"/>
  <c r="E6" i="23" s="1"/>
  <c r="P6" i="16"/>
  <c r="B5" i="23" s="1"/>
  <c r="S13" i="16"/>
  <c r="E12" i="23" s="1"/>
  <c r="S5" i="16"/>
  <c r="E4" i="23" s="1"/>
  <c r="T7" i="16"/>
  <c r="F6" i="23" s="1"/>
  <c r="Q10" i="16"/>
  <c r="C9" i="23" s="1"/>
  <c r="T9" i="16"/>
  <c r="F8" i="23" s="1"/>
  <c r="Q16" i="16"/>
  <c r="C15" i="23" s="1"/>
  <c r="P15" i="16"/>
  <c r="B14" i="23" s="1"/>
  <c r="Q15" i="16"/>
  <c r="C14" i="23" s="1"/>
  <c r="R11" i="16"/>
  <c r="D10" i="23" s="1"/>
  <c r="S20" i="16"/>
  <c r="E19" i="23" s="1"/>
  <c r="S11" i="16"/>
  <c r="E10" i="23" s="1"/>
  <c r="P16" i="16"/>
  <c r="B15" i="23" s="1"/>
  <c r="T12" i="16"/>
  <c r="F11" i="23" s="1"/>
  <c r="R20" i="16"/>
  <c r="D19" i="23" s="1"/>
  <c r="R4" i="16"/>
  <c r="D3" i="23" s="1"/>
  <c r="T3" i="16"/>
  <c r="F2" i="23" s="1"/>
  <c r="R17" i="16"/>
  <c r="D16" i="23" s="1"/>
  <c r="S16" i="16"/>
  <c r="E15" i="23" s="1"/>
  <c r="S19" i="16"/>
  <c r="E18" i="23" s="1"/>
  <c r="Q20" i="16"/>
  <c r="C19" i="23" s="1"/>
  <c r="S4" i="16"/>
  <c r="E3" i="23" s="1"/>
  <c r="S21" i="16"/>
  <c r="E20" i="23" s="1"/>
  <c r="T11" i="16"/>
  <c r="F10" i="23" s="1"/>
  <c r="Q8" i="16"/>
  <c r="C7" i="23" s="1"/>
  <c r="Q19" i="16"/>
  <c r="C18" i="23" s="1"/>
  <c r="Q6" i="16"/>
  <c r="C5" i="23" s="1"/>
  <c r="R9" i="16"/>
  <c r="D8" i="23" s="1"/>
  <c r="S12" i="16"/>
  <c r="E11" i="23" s="1"/>
  <c r="T18" i="16"/>
  <c r="F17" i="23" s="1"/>
  <c r="Q4" i="16"/>
  <c r="C3" i="23" s="1"/>
  <c r="S10" i="16"/>
  <c r="E9" i="23" s="1"/>
  <c r="L10" i="1"/>
  <c r="L10" i="16"/>
  <c r="L11" i="2"/>
  <c r="K14" i="16" l="1"/>
  <c r="L11" i="16"/>
  <c r="L11" i="1"/>
  <c r="L12" i="2"/>
  <c r="L13" i="2" l="1"/>
  <c r="L12" i="16"/>
  <c r="L12" i="1"/>
  <c r="L13" i="1" l="1"/>
  <c r="L13" i="16"/>
  <c r="L14" i="2"/>
  <c r="L14" i="1" l="1"/>
  <c r="L14" i="16"/>
  <c r="L15" i="2"/>
  <c r="L16" i="2" l="1"/>
  <c r="L15" i="16"/>
  <c r="L15" i="1"/>
  <c r="L16" i="1" l="1"/>
  <c r="L16" i="16"/>
  <c r="L17" i="2"/>
  <c r="L18" i="2" l="1"/>
  <c r="L17" i="16"/>
  <c r="L17" i="1"/>
  <c r="L18" i="16" l="1"/>
  <c r="L18" i="1"/>
  <c r="L19" i="2"/>
  <c r="L20" i="2" l="1"/>
  <c r="L19" i="1"/>
  <c r="L19" i="16"/>
  <c r="L20" i="16" l="1"/>
  <c r="L20" i="1"/>
  <c r="L21" i="2"/>
  <c r="L22" i="2" l="1"/>
  <c r="L21" i="1"/>
  <c r="L21" i="16"/>
  <c r="L23" i="2" l="1"/>
  <c r="L22" i="1"/>
  <c r="L22" i="16"/>
  <c r="L24" i="2" l="1"/>
  <c r="L23" i="1"/>
  <c r="L23" i="16"/>
  <c r="L25" i="2" l="1"/>
  <c r="L24" i="1"/>
  <c r="L24" i="16"/>
  <c r="L26" i="2" l="1"/>
  <c r="L25" i="16"/>
  <c r="L25" i="1"/>
  <c r="L26" i="1" l="1"/>
  <c r="L26" i="16"/>
  <c r="N7" i="2"/>
  <c r="N8" i="2" l="1"/>
  <c r="N7" i="1"/>
  <c r="N7" i="16"/>
  <c r="N8" i="1" l="1"/>
  <c r="N8" i="16"/>
  <c r="N9" i="2"/>
  <c r="N9" i="1" l="1"/>
  <c r="N9" i="16"/>
  <c r="N10" i="2"/>
  <c r="N11" i="2" l="1"/>
  <c r="N10" i="1"/>
  <c r="N10" i="16"/>
  <c r="N12" i="2" l="1"/>
  <c r="N11" i="16"/>
  <c r="N11" i="1"/>
  <c r="N12" i="1" l="1"/>
  <c r="N12" i="16"/>
  <c r="N13" i="2"/>
  <c r="N13" i="1" l="1"/>
  <c r="N13" i="16"/>
  <c r="N14" i="2"/>
  <c r="N14" i="1" l="1"/>
  <c r="N14" i="16"/>
  <c r="N15" i="2"/>
  <c r="N15" i="1" l="1"/>
  <c r="N15" i="16"/>
  <c r="N16" i="2"/>
  <c r="N17" i="2" l="1"/>
  <c r="N16" i="1"/>
  <c r="N16" i="16"/>
  <c r="N18" i="2" l="1"/>
  <c r="N17" i="1"/>
  <c r="N17" i="16"/>
  <c r="N18" i="1" l="1"/>
  <c r="N18" i="16"/>
  <c r="N19" i="2"/>
  <c r="N20" i="2" l="1"/>
  <c r="N19" i="1"/>
  <c r="N19" i="16"/>
  <c r="N21" i="2" l="1"/>
  <c r="N20" i="16"/>
  <c r="N20" i="1"/>
  <c r="N22" i="2" l="1"/>
  <c r="N21" i="1"/>
  <c r="N21" i="16"/>
  <c r="N23" i="2" l="1"/>
  <c r="N22" i="1"/>
  <c r="N22" i="16"/>
  <c r="N24" i="2" l="1"/>
  <c r="N23" i="1"/>
  <c r="N23" i="16"/>
  <c r="N24" i="1" l="1"/>
  <c r="N24" i="16"/>
  <c r="N25" i="2"/>
  <c r="N25" i="1" l="1"/>
  <c r="N25" i="16"/>
  <c r="B51" i="15"/>
  <c r="B50" i="15"/>
  <c r="E59" i="15" l="1"/>
  <c r="E51" i="15"/>
  <c r="E65" i="15"/>
  <c r="D59" i="15"/>
  <c r="D51" i="15"/>
  <c r="E45" i="15"/>
  <c r="D50" i="15"/>
  <c r="D57" i="15"/>
  <c r="D56" i="15"/>
  <c r="B56" i="15"/>
  <c r="D47" i="15"/>
  <c r="E46" i="15"/>
  <c r="D45" i="15"/>
  <c r="E64" i="15"/>
  <c r="E58" i="15"/>
  <c r="E50" i="15"/>
  <c r="D58" i="15"/>
  <c r="D49" i="15"/>
  <c r="D64" i="15"/>
  <c r="D63" i="15"/>
  <c r="D62" i="15"/>
  <c r="D61" i="15"/>
  <c r="D60" i="15"/>
  <c r="E57" i="15"/>
  <c r="E49" i="15"/>
  <c r="D65" i="15"/>
  <c r="E47" i="15"/>
  <c r="B46" i="15"/>
  <c r="C22" i="15" s="1"/>
  <c r="E62" i="15"/>
  <c r="E56" i="15"/>
  <c r="E48" i="15"/>
  <c r="D48" i="15"/>
  <c r="E54" i="15"/>
  <c r="D53" i="15"/>
  <c r="B34" i="15"/>
  <c r="E55" i="15"/>
  <c r="D55" i="15"/>
  <c r="D54" i="15"/>
  <c r="E63" i="15"/>
  <c r="D52" i="15"/>
  <c r="E61" i="15"/>
  <c r="D46" i="15"/>
  <c r="E52" i="15"/>
  <c r="E53" i="15"/>
  <c r="E60" i="15"/>
  <c r="K77" i="15"/>
  <c r="K78" i="15"/>
  <c r="B36" i="15"/>
  <c r="B35" i="15"/>
  <c r="D74" i="15" l="1"/>
  <c r="B41" i="15"/>
  <c r="D26" i="15" s="1"/>
  <c r="D95" i="14"/>
  <c r="D144" i="14"/>
  <c r="D115" i="14"/>
  <c r="D101" i="14"/>
  <c r="D155" i="14"/>
  <c r="D123" i="14"/>
  <c r="D168" i="14"/>
  <c r="D166" i="14"/>
  <c r="D127" i="14"/>
  <c r="D94" i="14"/>
  <c r="D136" i="14"/>
  <c r="D99" i="14"/>
  <c r="D171" i="14"/>
  <c r="D118" i="14"/>
  <c r="D125" i="14"/>
  <c r="D149" i="14"/>
  <c r="D135" i="14"/>
  <c r="D84" i="14"/>
  <c r="D156" i="14"/>
  <c r="D170" i="14"/>
  <c r="D96" i="14"/>
  <c r="D154" i="14"/>
  <c r="D126" i="14"/>
  <c r="D173" i="14"/>
  <c r="D132" i="14"/>
  <c r="D102" i="14"/>
  <c r="D146" i="14"/>
  <c r="D158" i="14"/>
  <c r="D106" i="14"/>
  <c r="D86" i="14"/>
  <c r="D164" i="14"/>
  <c r="D113" i="14"/>
  <c r="D93" i="14"/>
  <c r="D129" i="14"/>
  <c r="F129" i="14" s="1"/>
  <c r="I129" i="14" s="1"/>
  <c r="H129" i="14" s="1"/>
  <c r="D100" i="14"/>
  <c r="D159" i="14"/>
  <c r="D105" i="14"/>
  <c r="D133" i="14"/>
  <c r="D88" i="14"/>
  <c r="F88" i="14" s="1"/>
  <c r="I88" i="14" s="1"/>
  <c r="H88" i="14" s="1"/>
  <c r="D79" i="14"/>
  <c r="D138" i="14"/>
  <c r="D117" i="14"/>
  <c r="D90" i="14"/>
  <c r="D147" i="14"/>
  <c r="D124" i="14"/>
  <c r="D114" i="14"/>
  <c r="D161" i="14"/>
  <c r="D131" i="14"/>
  <c r="D87" i="14"/>
  <c r="D137" i="14"/>
  <c r="D108" i="14"/>
  <c r="D172" i="14"/>
  <c r="D134" i="14"/>
  <c r="D112" i="14"/>
  <c r="D148" i="14"/>
  <c r="D119" i="14"/>
  <c r="D81" i="14"/>
  <c r="D157" i="14"/>
  <c r="D143" i="14"/>
  <c r="D89" i="14"/>
  <c r="D169" i="14"/>
  <c r="D120" i="14"/>
  <c r="D165" i="14"/>
  <c r="D142" i="14"/>
  <c r="D82" i="14"/>
  <c r="D153" i="14"/>
  <c r="D130" i="14"/>
  <c r="D145" i="14"/>
  <c r="D107" i="14"/>
  <c r="D80" i="14"/>
  <c r="D152" i="14"/>
  <c r="D116" i="14"/>
  <c r="D83" i="14"/>
  <c r="D160" i="14"/>
  <c r="F160" i="14" s="1"/>
  <c r="I160" i="14" s="1"/>
  <c r="H160" i="14" s="1"/>
  <c r="D121" i="14"/>
  <c r="D103" i="14"/>
  <c r="D150" i="14"/>
  <c r="D98" i="14"/>
  <c r="D78" i="14"/>
  <c r="D139" i="14"/>
  <c r="F139" i="14" s="1"/>
  <c r="I139" i="14" s="1"/>
  <c r="D97" i="14"/>
  <c r="D163" i="14"/>
  <c r="D109" i="14"/>
  <c r="D111" i="14"/>
  <c r="D85" i="14"/>
  <c r="D141" i="14"/>
  <c r="D122" i="14"/>
  <c r="D91" i="14"/>
  <c r="D151" i="14"/>
  <c r="D128" i="14"/>
  <c r="D92" i="14"/>
  <c r="D167" i="14"/>
  <c r="D104" i="14"/>
  <c r="F104" i="14" s="1"/>
  <c r="I104" i="14" s="1"/>
  <c r="H104" i="14" s="1"/>
  <c r="D162" i="14"/>
  <c r="D140" i="14"/>
  <c r="D110" i="14"/>
  <c r="F110" i="14" s="1"/>
  <c r="I110" i="14" s="1"/>
  <c r="H110" i="14" s="1"/>
  <c r="D25" i="15"/>
  <c r="F51" i="15"/>
  <c r="F74" i="15" l="1"/>
  <c r="I74" i="15" s="1"/>
  <c r="H74" i="15" s="1"/>
  <c r="F151" i="14"/>
  <c r="I151" i="14" s="1"/>
  <c r="H151" i="14" s="1"/>
  <c r="F162" i="14"/>
  <c r="I162" i="14" s="1"/>
  <c r="H162" i="14" s="1"/>
  <c r="F141" i="14"/>
  <c r="I141" i="14" s="1"/>
  <c r="H141" i="14" s="1"/>
  <c r="F120" i="14"/>
  <c r="I120" i="14" s="1"/>
  <c r="H120" i="14" s="1"/>
  <c r="F114" i="14"/>
  <c r="I114" i="14" s="1"/>
  <c r="H114" i="14" s="1"/>
  <c r="F133" i="14"/>
  <c r="I133" i="14" s="1"/>
  <c r="H133" i="14" s="1"/>
  <c r="F154" i="14"/>
  <c r="I154" i="14" s="1"/>
  <c r="H154" i="14" s="1"/>
  <c r="F118" i="14"/>
  <c r="I118" i="14" s="1"/>
  <c r="H118" i="14" s="1"/>
  <c r="F123" i="14"/>
  <c r="I123" i="14" s="1"/>
  <c r="H123" i="14" s="1"/>
  <c r="F169" i="14"/>
  <c r="I169" i="14" s="1"/>
  <c r="H169" i="14" s="1"/>
  <c r="F171" i="14"/>
  <c r="I171" i="14" s="1"/>
  <c r="H171" i="14" s="1"/>
  <c r="F155" i="14"/>
  <c r="I155" i="14" s="1"/>
  <c r="H155" i="14" s="1"/>
  <c r="F167" i="14"/>
  <c r="I167" i="14" s="1"/>
  <c r="H167" i="14" s="1"/>
  <c r="F145" i="14"/>
  <c r="I145" i="14" s="1"/>
  <c r="H145" i="14" s="1"/>
  <c r="F172" i="14"/>
  <c r="I172" i="14" s="1"/>
  <c r="H172" i="14" s="1"/>
  <c r="F147" i="14"/>
  <c r="I147" i="14" s="1"/>
  <c r="H147" i="14" s="1"/>
  <c r="F159" i="14"/>
  <c r="I159" i="14" s="1"/>
  <c r="H159" i="14" s="1"/>
  <c r="F158" i="14"/>
  <c r="I158" i="14" s="1"/>
  <c r="H158" i="14" s="1"/>
  <c r="F170" i="14"/>
  <c r="I170" i="14" s="1"/>
  <c r="H170" i="14" s="1"/>
  <c r="F150" i="14"/>
  <c r="I150" i="14" s="1"/>
  <c r="H150" i="14" s="1"/>
  <c r="F124" i="14"/>
  <c r="I124" i="14" s="1"/>
  <c r="H124" i="14" s="1"/>
  <c r="F121" i="14"/>
  <c r="I121" i="14" s="1"/>
  <c r="H121" i="14" s="1"/>
  <c r="F130" i="14"/>
  <c r="I130" i="14" s="1"/>
  <c r="H130" i="14" s="1"/>
  <c r="F143" i="14"/>
  <c r="I143" i="14" s="1"/>
  <c r="H143" i="14" s="1"/>
  <c r="F146" i="14"/>
  <c r="I146" i="14" s="1"/>
  <c r="H146" i="14" s="1"/>
  <c r="F156" i="14"/>
  <c r="I156" i="14" s="1"/>
  <c r="H156" i="14" s="1"/>
  <c r="F136" i="14"/>
  <c r="I136" i="14" s="1"/>
  <c r="H136" i="14" s="1"/>
  <c r="F115" i="14"/>
  <c r="I115" i="14" s="1"/>
  <c r="H115" i="14" s="1"/>
  <c r="F134" i="14"/>
  <c r="I134" i="14" s="1"/>
  <c r="H134" i="14" s="1"/>
  <c r="F128" i="14"/>
  <c r="I128" i="14" s="1"/>
  <c r="H128" i="14" s="1"/>
  <c r="F163" i="14"/>
  <c r="I163" i="14" s="1"/>
  <c r="H163" i="14" s="1"/>
  <c r="F153" i="14"/>
  <c r="I153" i="14" s="1"/>
  <c r="H153" i="14" s="1"/>
  <c r="F157" i="14"/>
  <c r="I157" i="14" s="1"/>
  <c r="H157" i="14" s="1"/>
  <c r="F137" i="14"/>
  <c r="I137" i="14" s="1"/>
  <c r="H137" i="14" s="1"/>
  <c r="F117" i="14"/>
  <c r="I117" i="14" s="1"/>
  <c r="H117" i="14" s="1"/>
  <c r="F144" i="14"/>
  <c r="I144" i="14" s="1"/>
  <c r="H144" i="14" s="1"/>
  <c r="F138" i="14"/>
  <c r="I138" i="14" s="1"/>
  <c r="H138" i="14" s="1"/>
  <c r="F132" i="14"/>
  <c r="I132" i="14" s="1"/>
  <c r="H132" i="14" s="1"/>
  <c r="F135" i="14"/>
  <c r="I135" i="14" s="1"/>
  <c r="H135" i="14" s="1"/>
  <c r="F127" i="14"/>
  <c r="I127" i="14" s="1"/>
  <c r="H127" i="14" s="1"/>
  <c r="F116" i="14"/>
  <c r="I116" i="14" s="1"/>
  <c r="H116" i="14" s="1"/>
  <c r="F142" i="14"/>
  <c r="I142" i="14" s="1"/>
  <c r="H142" i="14" s="1"/>
  <c r="F119" i="14"/>
  <c r="I119" i="14" s="1"/>
  <c r="H119" i="14" s="1"/>
  <c r="F131" i="14"/>
  <c r="I131" i="14" s="1"/>
  <c r="H131" i="14" s="1"/>
  <c r="F173" i="14"/>
  <c r="I173" i="14" s="1"/>
  <c r="F149" i="14"/>
  <c r="I149" i="14" s="1"/>
  <c r="H149" i="14" s="1"/>
  <c r="F166" i="14"/>
  <c r="I166" i="14" s="1"/>
  <c r="H166" i="14" s="1"/>
  <c r="F140" i="14"/>
  <c r="I140" i="14" s="1"/>
  <c r="H140" i="14" s="1"/>
  <c r="F122" i="14"/>
  <c r="I122" i="14" s="1"/>
  <c r="H122" i="14" s="1"/>
  <c r="F152" i="14"/>
  <c r="I152" i="14" s="1"/>
  <c r="H152" i="14" s="1"/>
  <c r="F165" i="14"/>
  <c r="I165" i="14" s="1"/>
  <c r="H165" i="14" s="1"/>
  <c r="F148" i="14"/>
  <c r="I148" i="14" s="1"/>
  <c r="H148" i="14" s="1"/>
  <c r="F161" i="14"/>
  <c r="I161" i="14" s="1"/>
  <c r="H161" i="14" s="1"/>
  <c r="F164" i="14"/>
  <c r="I164" i="14" s="1"/>
  <c r="H164" i="14" s="1"/>
  <c r="F126" i="14"/>
  <c r="I126" i="14" s="1"/>
  <c r="H126" i="14" s="1"/>
  <c r="F125" i="14"/>
  <c r="I125" i="14" s="1"/>
  <c r="H125" i="14" s="1"/>
  <c r="F168" i="14"/>
  <c r="I168" i="14" s="1"/>
  <c r="H168" i="14" s="1"/>
  <c r="F85" i="14"/>
  <c r="I85" i="14" s="1"/>
  <c r="H85" i="14" s="1"/>
  <c r="F103" i="14"/>
  <c r="I103" i="14" s="1"/>
  <c r="H103" i="14" s="1"/>
  <c r="H65" i="16" s="1"/>
  <c r="F99" i="14"/>
  <c r="I99" i="14" s="1"/>
  <c r="H99" i="14" s="1"/>
  <c r="F98" i="14"/>
  <c r="I98" i="14" s="1"/>
  <c r="H98" i="14" s="1"/>
  <c r="F80" i="14"/>
  <c r="I80" i="14" s="1"/>
  <c r="H80" i="14" s="1"/>
  <c r="F112" i="14"/>
  <c r="I112" i="14" s="1"/>
  <c r="H112" i="14" s="1"/>
  <c r="F86" i="14"/>
  <c r="I86" i="14" s="1"/>
  <c r="F111" i="14"/>
  <c r="I111" i="14" s="1"/>
  <c r="H111" i="14" s="1"/>
  <c r="F90" i="14"/>
  <c r="I90" i="14" s="1"/>
  <c r="H90" i="14" s="1"/>
  <c r="F100" i="14"/>
  <c r="I100" i="14" s="1"/>
  <c r="H100" i="14" s="1"/>
  <c r="F107" i="14"/>
  <c r="I107" i="14" s="1"/>
  <c r="H107" i="14" s="1"/>
  <c r="F89" i="14"/>
  <c r="I89" i="14" s="1"/>
  <c r="H89" i="14" s="1"/>
  <c r="F109" i="14"/>
  <c r="I109" i="14" s="1"/>
  <c r="H109" i="14" s="1"/>
  <c r="F108" i="14"/>
  <c r="I108" i="14" s="1"/>
  <c r="H108" i="14" s="1"/>
  <c r="F102" i="14"/>
  <c r="I102" i="14" s="1"/>
  <c r="H102" i="14" s="1"/>
  <c r="F84" i="14"/>
  <c r="I84" i="14" s="1"/>
  <c r="H84" i="14" s="1"/>
  <c r="F94" i="14"/>
  <c r="I94" i="14" s="1"/>
  <c r="H94" i="14" s="1"/>
  <c r="F96" i="14"/>
  <c r="I96" i="14" s="1"/>
  <c r="F92" i="14"/>
  <c r="I92" i="14" s="1"/>
  <c r="H92" i="14" s="1"/>
  <c r="F97" i="14"/>
  <c r="I97" i="14" s="1"/>
  <c r="H97" i="14" s="1"/>
  <c r="F83" i="14"/>
  <c r="I83" i="14" s="1"/>
  <c r="H83" i="14" s="1"/>
  <c r="F82" i="14"/>
  <c r="I82" i="14" s="1"/>
  <c r="H82" i="14" s="1"/>
  <c r="F81" i="14"/>
  <c r="I81" i="14" s="1"/>
  <c r="H81" i="14" s="1"/>
  <c r="F87" i="14"/>
  <c r="I87" i="14" s="1"/>
  <c r="H87" i="14" s="1"/>
  <c r="F93" i="14"/>
  <c r="I93" i="14" s="1"/>
  <c r="H93" i="14" s="1"/>
  <c r="F95" i="14"/>
  <c r="I95" i="14" s="1"/>
  <c r="H95" i="14" s="1"/>
  <c r="F105" i="14"/>
  <c r="I105" i="14" s="1"/>
  <c r="F101" i="14"/>
  <c r="I101" i="14" s="1"/>
  <c r="H101" i="14" s="1"/>
  <c r="F91" i="14"/>
  <c r="I91" i="14" s="1"/>
  <c r="F79" i="14"/>
  <c r="I79" i="14" s="1"/>
  <c r="H79" i="14" s="1"/>
  <c r="F113" i="14"/>
  <c r="I113" i="14" s="1"/>
  <c r="H113" i="14" s="1"/>
  <c r="F106" i="14"/>
  <c r="I106" i="14" s="1"/>
  <c r="H106" i="14" s="1"/>
  <c r="F78" i="14"/>
  <c r="I78" i="14" s="1"/>
  <c r="H78" i="14" s="1"/>
  <c r="F10" i="14"/>
  <c r="G109" i="14"/>
  <c r="G121" i="14"/>
  <c r="G130" i="14"/>
  <c r="G143" i="14"/>
  <c r="G172" i="14"/>
  <c r="G147" i="14"/>
  <c r="G105" i="14"/>
  <c r="G154" i="14"/>
  <c r="G125" i="14"/>
  <c r="G168" i="14"/>
  <c r="G163" i="14"/>
  <c r="G157" i="14"/>
  <c r="G106" i="14"/>
  <c r="G96" i="14"/>
  <c r="G118" i="14"/>
  <c r="G123" i="14"/>
  <c r="G160" i="14"/>
  <c r="G159" i="14"/>
  <c r="G151" i="14"/>
  <c r="G97" i="14"/>
  <c r="G137" i="14"/>
  <c r="G117" i="14"/>
  <c r="G100" i="14"/>
  <c r="G158" i="14"/>
  <c r="G170" i="14"/>
  <c r="G171" i="14"/>
  <c r="G155" i="14"/>
  <c r="G153" i="14"/>
  <c r="G110" i="14"/>
  <c r="G139" i="14"/>
  <c r="G116" i="14"/>
  <c r="G142" i="14"/>
  <c r="G119" i="14"/>
  <c r="G138" i="14"/>
  <c r="G129" i="14"/>
  <c r="G146" i="14"/>
  <c r="G156" i="14"/>
  <c r="G99" i="14"/>
  <c r="G101" i="14"/>
  <c r="G128" i="14"/>
  <c r="G108" i="14"/>
  <c r="G140" i="14"/>
  <c r="G122" i="14"/>
  <c r="G152" i="14"/>
  <c r="G165" i="14"/>
  <c r="G148" i="14"/>
  <c r="G131" i="14"/>
  <c r="G102" i="14"/>
  <c r="G136" i="14"/>
  <c r="G115" i="14"/>
  <c r="G98" i="14"/>
  <c r="G94" i="14"/>
  <c r="G144" i="14"/>
  <c r="G141" i="14"/>
  <c r="G120" i="14"/>
  <c r="G135" i="14"/>
  <c r="G104" i="14"/>
  <c r="G150" i="14"/>
  <c r="G107" i="14"/>
  <c r="G169" i="14"/>
  <c r="G112" i="14"/>
  <c r="G114" i="14"/>
  <c r="G133" i="14"/>
  <c r="G113" i="14"/>
  <c r="G173" i="14"/>
  <c r="G149" i="14"/>
  <c r="G127" i="14"/>
  <c r="G95" i="14"/>
  <c r="G162" i="14"/>
  <c r="G161" i="14"/>
  <c r="G132" i="14"/>
  <c r="G167" i="14"/>
  <c r="G111" i="14"/>
  <c r="G103" i="14"/>
  <c r="G145" i="14"/>
  <c r="G134" i="14"/>
  <c r="G124" i="14"/>
  <c r="G164" i="14"/>
  <c r="G126" i="14"/>
  <c r="G166" i="14"/>
  <c r="G92" i="14"/>
  <c r="G86" i="14"/>
  <c r="G83" i="14"/>
  <c r="G81" i="14"/>
  <c r="G82" i="14"/>
  <c r="G91" i="14"/>
  <c r="G87" i="14"/>
  <c r="G78" i="14"/>
  <c r="G79" i="14"/>
  <c r="G77" i="14"/>
  <c r="G84" i="14"/>
  <c r="G75" i="14"/>
  <c r="G93" i="14"/>
  <c r="G85" i="14"/>
  <c r="G90" i="14"/>
  <c r="G80" i="14"/>
  <c r="G88" i="14"/>
  <c r="G89" i="14"/>
  <c r="G74" i="14"/>
  <c r="G76" i="14"/>
  <c r="F62" i="15"/>
  <c r="F61" i="15"/>
  <c r="F58" i="15"/>
  <c r="F64" i="15"/>
  <c r="F48" i="15"/>
  <c r="F65" i="15"/>
  <c r="F56" i="15"/>
  <c r="F49" i="15"/>
  <c r="F60" i="15"/>
  <c r="F55" i="15"/>
  <c r="F54" i="15"/>
  <c r="F53" i="15"/>
  <c r="F63" i="15"/>
  <c r="F50" i="15"/>
  <c r="F45" i="15"/>
  <c r="F46" i="15"/>
  <c r="F57" i="15"/>
  <c r="F52" i="15"/>
  <c r="F59" i="15"/>
  <c r="F47" i="15"/>
  <c r="D97" i="15"/>
  <c r="D132" i="15"/>
  <c r="D82" i="15"/>
  <c r="D95" i="15"/>
  <c r="D76" i="15"/>
  <c r="D89" i="15"/>
  <c r="D121" i="15"/>
  <c r="D134" i="15"/>
  <c r="D148" i="15"/>
  <c r="D125" i="15"/>
  <c r="D127" i="15"/>
  <c r="D128" i="15"/>
  <c r="D136" i="15"/>
  <c r="D139" i="15"/>
  <c r="D109" i="15"/>
  <c r="D166" i="15"/>
  <c r="D164" i="15"/>
  <c r="D80" i="15"/>
  <c r="D161" i="15"/>
  <c r="D150" i="15"/>
  <c r="D119" i="15"/>
  <c r="D104" i="15"/>
  <c r="D138" i="15"/>
  <c r="D93" i="15"/>
  <c r="D111" i="15"/>
  <c r="D101" i="15"/>
  <c r="D155" i="15"/>
  <c r="D170" i="15"/>
  <c r="D129" i="15"/>
  <c r="D156" i="15"/>
  <c r="D144" i="15"/>
  <c r="D173" i="15"/>
  <c r="D107" i="15"/>
  <c r="D114" i="15"/>
  <c r="D86" i="15"/>
  <c r="D99" i="15"/>
  <c r="D159" i="15"/>
  <c r="D162" i="15"/>
  <c r="D153" i="15"/>
  <c r="D113" i="15"/>
  <c r="D140" i="15"/>
  <c r="D126" i="15"/>
  <c r="D91" i="15"/>
  <c r="D147" i="15"/>
  <c r="D141" i="15"/>
  <c r="D143" i="15"/>
  <c r="D78" i="15"/>
  <c r="D98" i="15"/>
  <c r="D157" i="15"/>
  <c r="D96" i="15"/>
  <c r="D83" i="15"/>
  <c r="D75" i="15"/>
  <c r="D92" i="15"/>
  <c r="D158" i="15"/>
  <c r="D102" i="15"/>
  <c r="D142" i="15"/>
  <c r="D90" i="15"/>
  <c r="D123" i="15"/>
  <c r="D100" i="15"/>
  <c r="D130" i="15"/>
  <c r="D154" i="15"/>
  <c r="D79" i="15"/>
  <c r="D117" i="15"/>
  <c r="D137" i="15"/>
  <c r="D103" i="15"/>
  <c r="D152" i="15"/>
  <c r="D151" i="15"/>
  <c r="D115" i="15"/>
  <c r="D167" i="15"/>
  <c r="D87" i="15"/>
  <c r="D94" i="15"/>
  <c r="D106" i="15"/>
  <c r="D135" i="15"/>
  <c r="D120" i="15"/>
  <c r="D172" i="15"/>
  <c r="D112" i="15"/>
  <c r="D122" i="15"/>
  <c r="D84" i="15"/>
  <c r="D124" i="15"/>
  <c r="D108" i="15"/>
  <c r="D81" i="15"/>
  <c r="D105" i="15"/>
  <c r="D116" i="15"/>
  <c r="D160" i="15"/>
  <c r="D145" i="15"/>
  <c r="D88" i="15"/>
  <c r="D85" i="15"/>
  <c r="D133" i="15"/>
  <c r="D171" i="15"/>
  <c r="D146" i="15"/>
  <c r="D163" i="15"/>
  <c r="D169" i="15"/>
  <c r="D149" i="15"/>
  <c r="D165" i="15"/>
  <c r="D168" i="15"/>
  <c r="D118" i="15"/>
  <c r="D131" i="15"/>
  <c r="D77" i="15"/>
  <c r="D110" i="15"/>
  <c r="H176" i="14" l="1"/>
  <c r="G26" i="14"/>
  <c r="H26" i="14" s="1"/>
  <c r="K16" i="14"/>
  <c r="L16" i="14" s="1"/>
  <c r="M25" i="14"/>
  <c r="N25" i="14" s="1"/>
  <c r="M7" i="14"/>
  <c r="N7" i="14" s="1"/>
  <c r="K18" i="14"/>
  <c r="L18" i="14" s="1"/>
  <c r="F131" i="15"/>
  <c r="F171" i="15"/>
  <c r="F81" i="15"/>
  <c r="F135" i="15"/>
  <c r="F103" i="15"/>
  <c r="F90" i="15"/>
  <c r="F157" i="15"/>
  <c r="F140" i="15"/>
  <c r="F107" i="15"/>
  <c r="F111" i="15"/>
  <c r="F164" i="15"/>
  <c r="F148" i="15"/>
  <c r="F97" i="15"/>
  <c r="F133" i="15"/>
  <c r="F108" i="15"/>
  <c r="F106" i="15"/>
  <c r="F137" i="15"/>
  <c r="F142" i="15"/>
  <c r="F98" i="15"/>
  <c r="F113" i="15"/>
  <c r="F173" i="15"/>
  <c r="F93" i="15"/>
  <c r="F166" i="15"/>
  <c r="F134" i="15"/>
  <c r="F118" i="15"/>
  <c r="F168" i="15"/>
  <c r="F85" i="15"/>
  <c r="F124" i="15"/>
  <c r="F94" i="15"/>
  <c r="F117" i="15"/>
  <c r="F102" i="15"/>
  <c r="F153" i="15"/>
  <c r="F144" i="15"/>
  <c r="F138" i="15"/>
  <c r="F109" i="15"/>
  <c r="F121" i="15"/>
  <c r="F165" i="15"/>
  <c r="F87" i="15"/>
  <c r="F79" i="15"/>
  <c r="F158" i="15"/>
  <c r="F143" i="15"/>
  <c r="F156" i="15"/>
  <c r="F104" i="15"/>
  <c r="F139" i="15"/>
  <c r="F89" i="15"/>
  <c r="F88" i="15"/>
  <c r="F149" i="15"/>
  <c r="F145" i="15"/>
  <c r="F122" i="15"/>
  <c r="F167" i="15"/>
  <c r="F154" i="15"/>
  <c r="F92" i="15"/>
  <c r="F141" i="15"/>
  <c r="F159" i="15"/>
  <c r="F129" i="15"/>
  <c r="F119" i="15"/>
  <c r="F136" i="15"/>
  <c r="F169" i="15"/>
  <c r="F160" i="15"/>
  <c r="F112" i="15"/>
  <c r="F115" i="15"/>
  <c r="F130" i="15"/>
  <c r="F147" i="15"/>
  <c r="F99" i="15"/>
  <c r="F170" i="15"/>
  <c r="F150" i="15"/>
  <c r="F128" i="15"/>
  <c r="F95" i="15"/>
  <c r="F84" i="15"/>
  <c r="F110" i="15"/>
  <c r="F163" i="15"/>
  <c r="F116" i="15"/>
  <c r="F172" i="15"/>
  <c r="F151" i="15"/>
  <c r="F100" i="15"/>
  <c r="F83" i="15"/>
  <c r="F91" i="15"/>
  <c r="F86" i="15"/>
  <c r="F155" i="15"/>
  <c r="F161" i="15"/>
  <c r="F127" i="15"/>
  <c r="F82" i="15"/>
  <c r="F146" i="15"/>
  <c r="F105" i="15"/>
  <c r="F120" i="15"/>
  <c r="F152" i="15"/>
  <c r="F123" i="15"/>
  <c r="I123" i="15" s="1"/>
  <c r="H123" i="15" s="1"/>
  <c r="F96" i="15"/>
  <c r="F126" i="15"/>
  <c r="F114" i="15"/>
  <c r="F101" i="15"/>
  <c r="F80" i="15"/>
  <c r="F125" i="15"/>
  <c r="F132" i="15"/>
  <c r="F76" i="15"/>
  <c r="F75" i="15"/>
  <c r="F77" i="15"/>
  <c r="F78" i="15"/>
  <c r="F162" i="15"/>
  <c r="I162" i="15" s="1"/>
  <c r="H162" i="15" s="1"/>
  <c r="I22" i="14"/>
  <c r="J22" i="14" s="1"/>
  <c r="M13" i="14"/>
  <c r="N13" i="14" s="1"/>
  <c r="M16" i="14"/>
  <c r="N16" i="14" s="1"/>
  <c r="I23" i="14"/>
  <c r="J23" i="14" s="1"/>
  <c r="M20" i="14"/>
  <c r="N20" i="14" s="1"/>
  <c r="K7" i="14"/>
  <c r="L7" i="14" s="1"/>
  <c r="I17" i="14"/>
  <c r="J17" i="14" s="1"/>
  <c r="M8" i="14"/>
  <c r="N8" i="14" s="1"/>
  <c r="K12" i="14"/>
  <c r="L12" i="14" s="1"/>
  <c r="G16" i="14"/>
  <c r="H16" i="14" s="1"/>
  <c r="G7" i="14"/>
  <c r="H7" i="14" s="1"/>
  <c r="G17" i="14"/>
  <c r="H17" i="14" s="1"/>
  <c r="K19" i="14"/>
  <c r="L19" i="14" s="1"/>
  <c r="I16" i="14"/>
  <c r="J16" i="14" s="1"/>
  <c r="E20" i="14"/>
  <c r="E23" i="14"/>
  <c r="G10" i="14"/>
  <c r="E12" i="14"/>
  <c r="E22" i="14"/>
  <c r="E21" i="14"/>
  <c r="G173" i="15"/>
  <c r="G168" i="15"/>
  <c r="G163" i="15"/>
  <c r="G162" i="15"/>
  <c r="G154" i="15"/>
  <c r="G153" i="15"/>
  <c r="G152" i="15"/>
  <c r="G147" i="15"/>
  <c r="G143" i="15"/>
  <c r="G140" i="15"/>
  <c r="G138" i="15"/>
  <c r="G137" i="15"/>
  <c r="G136" i="15"/>
  <c r="G129" i="15"/>
  <c r="G128" i="15"/>
  <c r="G127" i="15"/>
  <c r="G125" i="15"/>
  <c r="G122" i="15"/>
  <c r="G117" i="15"/>
  <c r="G115" i="15"/>
  <c r="G113" i="15"/>
  <c r="G109" i="15"/>
  <c r="G108" i="15"/>
  <c r="G104" i="15"/>
  <c r="G100" i="15"/>
  <c r="G98" i="15"/>
  <c r="G97" i="15"/>
  <c r="G91" i="15"/>
  <c r="G89" i="15"/>
  <c r="G79" i="15"/>
  <c r="G77" i="15"/>
  <c r="G74" i="15"/>
  <c r="G144" i="15"/>
  <c r="G82" i="15"/>
  <c r="G90" i="15"/>
  <c r="G84" i="15"/>
  <c r="G103" i="15"/>
  <c r="G135" i="15"/>
  <c r="G94" i="15"/>
  <c r="G167" i="15"/>
  <c r="G142" i="15"/>
  <c r="G92" i="15"/>
  <c r="G159" i="15"/>
  <c r="G110" i="15"/>
  <c r="G133" i="15"/>
  <c r="G81" i="15"/>
  <c r="G112" i="15"/>
  <c r="G116" i="15"/>
  <c r="G169" i="15"/>
  <c r="G85" i="15"/>
  <c r="G145" i="15"/>
  <c r="G111" i="15"/>
  <c r="G96" i="15"/>
  <c r="G141" i="15"/>
  <c r="G99" i="15"/>
  <c r="G114" i="15"/>
  <c r="G75" i="15"/>
  <c r="G149" i="15"/>
  <c r="G123" i="15"/>
  <c r="G118" i="15"/>
  <c r="G105" i="15"/>
  <c r="G106" i="15"/>
  <c r="G131" i="15"/>
  <c r="G86" i="15"/>
  <c r="G161" i="15"/>
  <c r="G165" i="15"/>
  <c r="G171" i="15"/>
  <c r="G172" i="15"/>
  <c r="G88" i="15"/>
  <c r="G160" i="15"/>
  <c r="G124" i="15"/>
  <c r="G120" i="15"/>
  <c r="G130" i="15"/>
  <c r="G83" i="15"/>
  <c r="G107" i="15"/>
  <c r="G101" i="15"/>
  <c r="G119" i="15"/>
  <c r="G146" i="15"/>
  <c r="G78" i="15"/>
  <c r="G170" i="15"/>
  <c r="G151" i="15"/>
  <c r="G102" i="15"/>
  <c r="G150" i="15"/>
  <c r="G121" i="15"/>
  <c r="G132" i="15"/>
  <c r="G126" i="15"/>
  <c r="G134" i="15"/>
  <c r="G156" i="15"/>
  <c r="G95" i="15"/>
  <c r="G80" i="15"/>
  <c r="G148" i="15"/>
  <c r="G155" i="15"/>
  <c r="G164" i="15"/>
  <c r="G166" i="15"/>
  <c r="G87" i="15"/>
  <c r="G158" i="15"/>
  <c r="G157" i="15"/>
  <c r="G93" i="15"/>
  <c r="G139" i="15"/>
  <c r="G76" i="15"/>
  <c r="S8" i="14" l="1"/>
  <c r="E7" i="22" s="1"/>
  <c r="S14" i="14"/>
  <c r="E13" i="22" s="1"/>
  <c r="T5" i="14"/>
  <c r="F4" i="22" s="1"/>
  <c r="R6" i="14"/>
  <c r="D5" i="22" s="1"/>
  <c r="T6" i="14"/>
  <c r="F5" i="22" s="1"/>
  <c r="R5" i="14"/>
  <c r="D4" i="22" s="1"/>
  <c r="P14" i="14"/>
  <c r="B13" i="22" s="1"/>
  <c r="S5" i="14"/>
  <c r="E4" i="22" s="1"/>
  <c r="P20" i="14"/>
  <c r="B19" i="22" s="1"/>
  <c r="I152" i="15"/>
  <c r="H152" i="15" s="1"/>
  <c r="I130" i="15"/>
  <c r="I88" i="15"/>
  <c r="H88" i="15" s="1"/>
  <c r="I126" i="15"/>
  <c r="I127" i="15"/>
  <c r="H127" i="15" s="1"/>
  <c r="I170" i="15"/>
  <c r="H170" i="15" s="1"/>
  <c r="I136" i="15"/>
  <c r="H136" i="15" s="1"/>
  <c r="I143" i="15"/>
  <c r="H143" i="15" s="1"/>
  <c r="I144" i="15"/>
  <c r="H144" i="15" s="1"/>
  <c r="I118" i="15"/>
  <c r="I137" i="15"/>
  <c r="H137" i="15" s="1"/>
  <c r="I107" i="15"/>
  <c r="H107" i="15" s="1"/>
  <c r="I131" i="15"/>
  <c r="H131" i="15" s="1"/>
  <c r="I75" i="15"/>
  <c r="I96" i="15"/>
  <c r="G9" i="15" s="1"/>
  <c r="H9" i="15" s="1"/>
  <c r="I161" i="15"/>
  <c r="H161" i="15" s="1"/>
  <c r="I116" i="15"/>
  <c r="H116" i="15" s="1"/>
  <c r="I99" i="15"/>
  <c r="H99" i="15" s="1"/>
  <c r="I119" i="15"/>
  <c r="H119" i="15" s="1"/>
  <c r="I145" i="15"/>
  <c r="H145" i="15" s="1"/>
  <c r="I158" i="15"/>
  <c r="H158" i="15" s="1"/>
  <c r="I153" i="15"/>
  <c r="H153" i="15" s="1"/>
  <c r="I134" i="15"/>
  <c r="I106" i="15"/>
  <c r="I140" i="15"/>
  <c r="I86" i="15"/>
  <c r="E19" i="15" s="1"/>
  <c r="F19" i="15" s="1"/>
  <c r="I87" i="15"/>
  <c r="H87" i="15" s="1"/>
  <c r="I77" i="15"/>
  <c r="I172" i="15"/>
  <c r="I122" i="15"/>
  <c r="I76" i="15"/>
  <c r="I155" i="15"/>
  <c r="I163" i="15"/>
  <c r="H163" i="15" s="1"/>
  <c r="I147" i="15"/>
  <c r="H147" i="15" s="1"/>
  <c r="I129" i="15"/>
  <c r="H129" i="15" s="1"/>
  <c r="I149" i="15"/>
  <c r="H149" i="15" s="1"/>
  <c r="I79" i="15"/>
  <c r="H79" i="15" s="1"/>
  <c r="I102" i="15"/>
  <c r="I166" i="15"/>
  <c r="I108" i="15"/>
  <c r="I157" i="15"/>
  <c r="H157" i="15" s="1"/>
  <c r="I117" i="15"/>
  <c r="H117" i="15" s="1"/>
  <c r="I125" i="15"/>
  <c r="I120" i="15"/>
  <c r="I91" i="15"/>
  <c r="E24" i="15" s="1"/>
  <c r="F24" i="15" s="1"/>
  <c r="I84" i="15"/>
  <c r="I115" i="15"/>
  <c r="I141" i="15"/>
  <c r="I89" i="15"/>
  <c r="H89" i="15" s="1"/>
  <c r="I165" i="15"/>
  <c r="H165" i="15" s="1"/>
  <c r="I94" i="15"/>
  <c r="H94" i="15" s="1"/>
  <c r="I173" i="15"/>
  <c r="I97" i="15"/>
  <c r="I103" i="15"/>
  <c r="I159" i="15"/>
  <c r="H159" i="15" s="1"/>
  <c r="I133" i="15"/>
  <c r="I90" i="15"/>
  <c r="I80" i="15"/>
  <c r="H80" i="15" s="1"/>
  <c r="I105" i="15"/>
  <c r="G18" i="15" s="1"/>
  <c r="H18" i="15" s="1"/>
  <c r="I83" i="15"/>
  <c r="H83" i="15" s="1"/>
  <c r="I95" i="15"/>
  <c r="H95" i="15" s="1"/>
  <c r="I112" i="15"/>
  <c r="I92" i="15"/>
  <c r="I139" i="15"/>
  <c r="I121" i="15"/>
  <c r="H121" i="15" s="1"/>
  <c r="I124" i="15"/>
  <c r="H124" i="15" s="1"/>
  <c r="I113" i="15"/>
  <c r="H113" i="15" s="1"/>
  <c r="I148" i="15"/>
  <c r="H148" i="15" s="1"/>
  <c r="I135" i="15"/>
  <c r="I81" i="15"/>
  <c r="I132" i="15"/>
  <c r="I110" i="15"/>
  <c r="I93" i="15"/>
  <c r="H93" i="15" s="1"/>
  <c r="I101" i="15"/>
  <c r="H101" i="15" s="1"/>
  <c r="I146" i="15"/>
  <c r="I100" i="15"/>
  <c r="H100" i="15" s="1"/>
  <c r="I128" i="15"/>
  <c r="I160" i="15"/>
  <c r="I154" i="15"/>
  <c r="H154" i="15" s="1"/>
  <c r="I104" i="15"/>
  <c r="H104" i="15" s="1"/>
  <c r="I109" i="15"/>
  <c r="H109" i="15" s="1"/>
  <c r="I85" i="15"/>
  <c r="I98" i="15"/>
  <c r="H98" i="15" s="1"/>
  <c r="I164" i="15"/>
  <c r="I78" i="15"/>
  <c r="H78" i="15" s="1"/>
  <c r="I114" i="15"/>
  <c r="I82" i="15"/>
  <c r="I151" i="15"/>
  <c r="I150" i="15"/>
  <c r="H150" i="15" s="1"/>
  <c r="I169" i="15"/>
  <c r="I167" i="15"/>
  <c r="H167" i="15" s="1"/>
  <c r="I156" i="15"/>
  <c r="I138" i="15"/>
  <c r="H138" i="15" s="1"/>
  <c r="I168" i="15"/>
  <c r="H168" i="15" s="1"/>
  <c r="I142" i="15"/>
  <c r="I111" i="15"/>
  <c r="I171" i="15"/>
  <c r="T12" i="14"/>
  <c r="F11" i="22" s="1"/>
  <c r="R7" i="14"/>
  <c r="D6" i="22" s="1"/>
  <c r="R21" i="14"/>
  <c r="D20" i="22" s="1"/>
  <c r="S9" i="14"/>
  <c r="E8" i="22" s="1"/>
  <c r="T13" i="14"/>
  <c r="F12" i="22" s="1"/>
  <c r="Q11" i="14"/>
  <c r="C10" i="22" s="1"/>
  <c r="P9" i="14"/>
  <c r="B8" i="22" s="1"/>
  <c r="Q8" i="14"/>
  <c r="C7" i="22" s="1"/>
  <c r="R19" i="14"/>
  <c r="D18" i="22" s="1"/>
  <c r="Q3" i="14"/>
  <c r="C2" i="22" s="1"/>
  <c r="T14" i="14"/>
  <c r="F13" i="22" s="1"/>
  <c r="P22" i="14"/>
  <c r="B21" i="22" s="1"/>
  <c r="Q12" i="14"/>
  <c r="C11" i="22" s="1"/>
  <c r="Q16" i="14"/>
  <c r="C15" i="22" s="1"/>
  <c r="R3" i="14"/>
  <c r="D2" i="22" s="1"/>
  <c r="Q17" i="14"/>
  <c r="C16" i="22" s="1"/>
  <c r="S15" i="14"/>
  <c r="E14" i="22" s="1"/>
  <c r="R13" i="14"/>
  <c r="D12" i="22" s="1"/>
  <c r="P8" i="14"/>
  <c r="B7" i="22" s="1"/>
  <c r="P16" i="14"/>
  <c r="B15" i="22" s="1"/>
  <c r="R9" i="14"/>
  <c r="D8" i="22" s="1"/>
  <c r="S7" i="14"/>
  <c r="E6" i="22" s="1"/>
  <c r="P15" i="14"/>
  <c r="B14" i="22" s="1"/>
  <c r="S21" i="14"/>
  <c r="E20" i="22" s="1"/>
  <c r="Q6" i="14"/>
  <c r="C5" i="22" s="1"/>
  <c r="T8" i="14"/>
  <c r="F7" i="22" s="1"/>
  <c r="T19" i="14"/>
  <c r="F18" i="22" s="1"/>
  <c r="Q19" i="14"/>
  <c r="C18" i="22" s="1"/>
  <c r="S18" i="14"/>
  <c r="E17" i="22" s="1"/>
  <c r="P11" i="14"/>
  <c r="B10" i="22" s="1"/>
  <c r="R14" i="14"/>
  <c r="D13" i="22" s="1"/>
  <c r="S20" i="14"/>
  <c r="E19" i="22" s="1"/>
  <c r="Q15" i="14"/>
  <c r="C14" i="22" s="1"/>
  <c r="P19" i="14"/>
  <c r="B18" i="22" s="1"/>
  <c r="R8" i="14"/>
  <c r="D7" i="22" s="1"/>
  <c r="T16" i="14"/>
  <c r="F15" i="22" s="1"/>
  <c r="Q10" i="14"/>
  <c r="C9" i="22" s="1"/>
  <c r="R22" i="14"/>
  <c r="D21" i="22" s="1"/>
  <c r="Q18" i="14"/>
  <c r="C17" i="22" s="1"/>
  <c r="S4" i="14"/>
  <c r="E3" i="22" s="1"/>
  <c r="S16" i="14"/>
  <c r="E15" i="22" s="1"/>
  <c r="P10" i="14"/>
  <c r="B9" i="22" s="1"/>
  <c r="R11" i="14"/>
  <c r="D10" i="22" s="1"/>
  <c r="T11" i="14"/>
  <c r="F10" i="22" s="1"/>
  <c r="P7" i="14"/>
  <c r="B6" i="22" s="1"/>
  <c r="Q9" i="14"/>
  <c r="C8" i="22" s="1"/>
  <c r="T22" i="14"/>
  <c r="F21" i="22" s="1"/>
  <c r="P3" i="14"/>
  <c r="B2" i="22" s="1"/>
  <c r="S19" i="14"/>
  <c r="E18" i="22" s="1"/>
  <c r="T15" i="14"/>
  <c r="F14" i="22" s="1"/>
  <c r="T17" i="14"/>
  <c r="F16" i="22" s="1"/>
  <c r="T18" i="14"/>
  <c r="F17" i="22" s="1"/>
  <c r="Q14" i="14"/>
  <c r="C13" i="22" s="1"/>
  <c r="Q5" i="14"/>
  <c r="C4" i="22" s="1"/>
  <c r="T10" i="14"/>
  <c r="F9" i="22" s="1"/>
  <c r="P4" i="14"/>
  <c r="B3" i="22" s="1"/>
  <c r="R10" i="14"/>
  <c r="D9" i="22" s="1"/>
  <c r="R20" i="14"/>
  <c r="D19" i="22" s="1"/>
  <c r="R15" i="14"/>
  <c r="D14" i="22" s="1"/>
  <c r="S22" i="14"/>
  <c r="E21" i="22" s="1"/>
  <c r="R4" i="14"/>
  <c r="D3" i="22" s="1"/>
  <c r="Q20" i="14"/>
  <c r="C19" i="22" s="1"/>
  <c r="T7" i="14"/>
  <c r="F6" i="22" s="1"/>
  <c r="S10" i="14"/>
  <c r="E9" i="22" s="1"/>
  <c r="Q4" i="14"/>
  <c r="C3" i="22" s="1"/>
  <c r="Q7" i="14"/>
  <c r="C6" i="22" s="1"/>
  <c r="P5" i="14"/>
  <c r="B4" i="22" s="1"/>
  <c r="R17" i="14"/>
  <c r="D16" i="22" s="1"/>
  <c r="P21" i="14"/>
  <c r="B20" i="22" s="1"/>
  <c r="Q21" i="14"/>
  <c r="C20" i="22" s="1"/>
  <c r="R16" i="14"/>
  <c r="D15" i="22" s="1"/>
  <c r="S13" i="14"/>
  <c r="E12" i="22" s="1"/>
  <c r="P13" i="14"/>
  <c r="B12" i="22" s="1"/>
  <c r="S11" i="14"/>
  <c r="E10" i="22" s="1"/>
  <c r="T20" i="14"/>
  <c r="F19" i="22" s="1"/>
  <c r="S17" i="14"/>
  <c r="E16" i="22" s="1"/>
  <c r="P18" i="14"/>
  <c r="B17" i="22" s="1"/>
  <c r="P6" i="14"/>
  <c r="B5" i="22" s="1"/>
  <c r="R18" i="14"/>
  <c r="D17" i="22" s="1"/>
  <c r="S3" i="14"/>
  <c r="E2" i="22" s="1"/>
  <c r="T4" i="14"/>
  <c r="F3" i="22" s="1"/>
  <c r="T9" i="14"/>
  <c r="F8" i="22" s="1"/>
  <c r="Q13" i="14"/>
  <c r="C12" i="22" s="1"/>
  <c r="P17" i="14"/>
  <c r="B16" i="22" s="1"/>
  <c r="E13" i="14"/>
  <c r="F13" i="14" s="1"/>
  <c r="K23" i="14"/>
  <c r="L23" i="14" s="1"/>
  <c r="K8" i="14"/>
  <c r="L8" i="14" s="1"/>
  <c r="K11" i="14"/>
  <c r="L11" i="14" s="1"/>
  <c r="M15" i="14"/>
  <c r="N15" i="14" s="1"/>
  <c r="G13" i="14"/>
  <c r="H13" i="14" s="1"/>
  <c r="I26" i="14"/>
  <c r="J26" i="14" s="1"/>
  <c r="M26" i="14"/>
  <c r="N26" i="14" s="1"/>
  <c r="I14" i="14"/>
  <c r="J14" i="14" s="1"/>
  <c r="G9" i="14"/>
  <c r="H9" i="14" s="1"/>
  <c r="K15" i="14"/>
  <c r="L15" i="14" s="1"/>
  <c r="I8" i="14"/>
  <c r="J8" i="14" s="1"/>
  <c r="G21" i="14"/>
  <c r="H21" i="14" s="1"/>
  <c r="T3" i="14"/>
  <c r="F2" i="22" s="1"/>
  <c r="K17" i="14"/>
  <c r="L17" i="14" s="1"/>
  <c r="K22" i="14"/>
  <c r="L22" i="14" s="1"/>
  <c r="M11" i="14"/>
  <c r="N11" i="14" s="1"/>
  <c r="G25" i="14"/>
  <c r="H25" i="14" s="1"/>
  <c r="M24" i="14"/>
  <c r="N24" i="14" s="1"/>
  <c r="K14" i="14"/>
  <c r="L14" i="14" s="1"/>
  <c r="K26" i="14"/>
  <c r="L26" i="14" s="1"/>
  <c r="I20" i="14"/>
  <c r="J20" i="14" s="1"/>
  <c r="I13" i="14"/>
  <c r="J13" i="14" s="1"/>
  <c r="E14" i="14"/>
  <c r="F14" i="14" s="1"/>
  <c r="M23" i="14"/>
  <c r="N23" i="14" s="1"/>
  <c r="M12" i="14"/>
  <c r="N12" i="14" s="1"/>
  <c r="K21" i="14"/>
  <c r="L21" i="14" s="1"/>
  <c r="I21" i="14"/>
  <c r="J21" i="14" s="1"/>
  <c r="E11" i="14"/>
  <c r="F11" i="14" s="1"/>
  <c r="I11" i="14"/>
  <c r="J11" i="14" s="1"/>
  <c r="K20" i="14"/>
  <c r="L20" i="14" s="1"/>
  <c r="E19" i="14"/>
  <c r="F19" i="14" s="1"/>
  <c r="I25" i="14"/>
  <c r="J25" i="14" s="1"/>
  <c r="M14" i="14"/>
  <c r="N14" i="14" s="1"/>
  <c r="E26" i="14"/>
  <c r="F26" i="14" s="1"/>
  <c r="E17" i="14"/>
  <c r="F17" i="14" s="1"/>
  <c r="E25" i="14"/>
  <c r="F25" i="14" s="1"/>
  <c r="M22" i="14"/>
  <c r="N22" i="14" s="1"/>
  <c r="I7" i="14"/>
  <c r="J7" i="14" s="1"/>
  <c r="I24" i="14"/>
  <c r="J24" i="14" s="1"/>
  <c r="M19" i="14"/>
  <c r="N19" i="14" s="1"/>
  <c r="I18" i="14"/>
  <c r="J18" i="14" s="1"/>
  <c r="E15" i="14"/>
  <c r="F15" i="14" s="1"/>
  <c r="K24" i="14"/>
  <c r="L24" i="14" s="1"/>
  <c r="I12" i="14"/>
  <c r="J12" i="14" s="1"/>
  <c r="T21" i="14"/>
  <c r="F20" i="22" s="1"/>
  <c r="S12" i="14"/>
  <c r="E11" i="22" s="1"/>
  <c r="Q22" i="14"/>
  <c r="C21" i="22" s="1"/>
  <c r="E16" i="14"/>
  <c r="F16" i="14" s="1"/>
  <c r="P12" i="14"/>
  <c r="B11" i="22" s="1"/>
  <c r="K10" i="14"/>
  <c r="L10" i="14" s="1"/>
  <c r="S6" i="14"/>
  <c r="E5" i="22" s="1"/>
  <c r="I9" i="14"/>
  <c r="J9" i="14" s="1"/>
  <c r="K9" i="14"/>
  <c r="L9" i="14" s="1"/>
  <c r="M9" i="14"/>
  <c r="N9" i="14" s="1"/>
  <c r="I10" i="14"/>
  <c r="J10" i="14" s="1"/>
  <c r="M10" i="14"/>
  <c r="N10" i="14" s="1"/>
  <c r="E18" i="14"/>
  <c r="F18" i="14" s="1"/>
  <c r="E24" i="14"/>
  <c r="F24" i="14" s="1"/>
  <c r="G18" i="14"/>
  <c r="H18" i="14" s="1"/>
  <c r="I19" i="14"/>
  <c r="J19" i="14" s="1"/>
  <c r="M21" i="14"/>
  <c r="N21" i="14" s="1"/>
  <c r="G14" i="14"/>
  <c r="H14" i="14" s="1"/>
  <c r="G8" i="14"/>
  <c r="H8" i="14" s="1"/>
  <c r="G15" i="14"/>
  <c r="H15" i="14" s="1"/>
  <c r="G20" i="14"/>
  <c r="H20" i="14" s="1"/>
  <c r="K13" i="14"/>
  <c r="L13" i="14" s="1"/>
  <c r="G11" i="14"/>
  <c r="H11" i="14" s="1"/>
  <c r="G19" i="14"/>
  <c r="H19" i="14" s="1"/>
  <c r="G22" i="14"/>
  <c r="H22" i="14" s="1"/>
  <c r="G24" i="14"/>
  <c r="H24" i="14" s="1"/>
  <c r="G23" i="14"/>
  <c r="H23" i="14" s="1"/>
  <c r="K25" i="14"/>
  <c r="L25" i="14" s="1"/>
  <c r="M17" i="14"/>
  <c r="N17" i="14" s="1"/>
  <c r="M18" i="14"/>
  <c r="N18" i="14" s="1"/>
  <c r="I15" i="14"/>
  <c r="J15" i="14" s="1"/>
  <c r="G12" i="14"/>
  <c r="H12" i="14" s="1"/>
  <c r="F22" i="14"/>
  <c r="F20" i="14"/>
  <c r="F21" i="14"/>
  <c r="H10" i="14"/>
  <c r="F23" i="14"/>
  <c r="F12" i="14"/>
  <c r="I16" i="15"/>
  <c r="J16" i="15" s="1"/>
  <c r="I10" i="15"/>
  <c r="J10" i="15" s="1"/>
  <c r="E7" i="15"/>
  <c r="F7" i="15" s="1"/>
  <c r="E13" i="15"/>
  <c r="F13" i="15" s="1"/>
  <c r="G12" i="15" l="1"/>
  <c r="H12" i="15" s="1"/>
  <c r="E21" i="15"/>
  <c r="F21" i="15" s="1"/>
  <c r="M9" i="15"/>
  <c r="N9" i="15" s="1"/>
  <c r="H156" i="15"/>
  <c r="G26" i="15"/>
  <c r="H26" i="15" s="1"/>
  <c r="I22" i="15"/>
  <c r="J22" i="15" s="1"/>
  <c r="I12" i="15"/>
  <c r="J12" i="15" s="1"/>
  <c r="G7" i="15"/>
  <c r="H7" i="15" s="1"/>
  <c r="G11" i="15"/>
  <c r="H11" i="15" s="1"/>
  <c r="E20" i="15"/>
  <c r="F20" i="15" s="1"/>
  <c r="E8" i="15"/>
  <c r="F8" i="15" s="1"/>
  <c r="H75" i="15"/>
  <c r="I8" i="15"/>
  <c r="J8" i="15" s="1"/>
  <c r="H115" i="15"/>
  <c r="M8" i="15"/>
  <c r="N8" i="15" s="1"/>
  <c r="H155" i="15"/>
  <c r="E12" i="15"/>
  <c r="F12" i="15" s="1"/>
  <c r="E16" i="15"/>
  <c r="F16" i="15" s="1"/>
  <c r="I24" i="15"/>
  <c r="J24" i="15" s="1"/>
  <c r="I20" i="15"/>
  <c r="J20" i="15" s="1"/>
  <c r="G8" i="15"/>
  <c r="H8" i="15" s="1"/>
  <c r="M25" i="15"/>
  <c r="N25" i="15" s="1"/>
  <c r="H172" i="15"/>
  <c r="K18" i="15"/>
  <c r="L18" i="15" s="1"/>
  <c r="G14" i="15"/>
  <c r="H14" i="15" s="1"/>
  <c r="K8" i="15"/>
  <c r="L8" i="15" s="1"/>
  <c r="H135" i="15"/>
  <c r="G21" i="15"/>
  <c r="H21" i="15" s="1"/>
  <c r="H108" i="15"/>
  <c r="G10" i="15"/>
  <c r="H10" i="15" s="1"/>
  <c r="H97" i="15"/>
  <c r="I25" i="15"/>
  <c r="J25" i="15" s="1"/>
  <c r="H132" i="15"/>
  <c r="K19" i="15"/>
  <c r="L19" i="15" s="1"/>
  <c r="H146" i="15"/>
  <c r="G24" i="15"/>
  <c r="H24" i="15" s="1"/>
  <c r="H111" i="15"/>
  <c r="K14" i="15"/>
  <c r="L14" i="15" s="1"/>
  <c r="H141" i="15"/>
  <c r="M24" i="15"/>
  <c r="N24" i="15" s="1"/>
  <c r="H171" i="15"/>
  <c r="M13" i="15"/>
  <c r="N13" i="15" s="1"/>
  <c r="H160" i="15"/>
  <c r="I7" i="15"/>
  <c r="J7" i="15" s="1"/>
  <c r="H114" i="15"/>
  <c r="M17" i="15"/>
  <c r="N17" i="15" s="1"/>
  <c r="H164" i="15"/>
  <c r="I11" i="15"/>
  <c r="J11" i="15" s="1"/>
  <c r="H118" i="15"/>
  <c r="M22" i="15"/>
  <c r="N22" i="15" s="1"/>
  <c r="H169" i="15"/>
  <c r="K15" i="15"/>
  <c r="L15" i="15" s="1"/>
  <c r="H142" i="15"/>
  <c r="K13" i="15"/>
  <c r="L13" i="15" s="1"/>
  <c r="H140" i="15"/>
  <c r="I21" i="15"/>
  <c r="J21" i="15" s="1"/>
  <c r="H128" i="15"/>
  <c r="K24" i="15"/>
  <c r="L24" i="15" s="1"/>
  <c r="H151" i="15"/>
  <c r="E11" i="15"/>
  <c r="F11" i="15" s="1"/>
  <c r="M11" i="15"/>
  <c r="N11" i="15" s="1"/>
  <c r="E17" i="15"/>
  <c r="F17" i="15" s="1"/>
  <c r="H84" i="15"/>
  <c r="E10" i="15"/>
  <c r="F10" i="15" s="1"/>
  <c r="H77" i="15"/>
  <c r="E23" i="15"/>
  <c r="F23" i="15" s="1"/>
  <c r="H90" i="15"/>
  <c r="I23" i="15"/>
  <c r="J23" i="15" s="1"/>
  <c r="H130" i="15"/>
  <c r="I18" i="15"/>
  <c r="J18" i="15" s="1"/>
  <c r="H125" i="15"/>
  <c r="E25" i="15"/>
  <c r="F25" i="15" s="1"/>
  <c r="H92" i="15"/>
  <c r="G15" i="15"/>
  <c r="H15" i="15" s="1"/>
  <c r="H102" i="15"/>
  <c r="E26" i="15"/>
  <c r="F26" i="15" s="1"/>
  <c r="I14" i="15"/>
  <c r="J14" i="15" s="1"/>
  <c r="E22" i="15"/>
  <c r="F22" i="15" s="1"/>
  <c r="I9" i="15"/>
  <c r="J9" i="15" s="1"/>
  <c r="G22" i="15"/>
  <c r="H22" i="15" s="1"/>
  <c r="M10" i="15"/>
  <c r="N10" i="15" s="1"/>
  <c r="I15" i="15"/>
  <c r="J15" i="15" s="1"/>
  <c r="H122" i="15"/>
  <c r="E15" i="15"/>
  <c r="F15" i="15" s="1"/>
  <c r="H82" i="15"/>
  <c r="G25" i="15"/>
  <c r="H25" i="15" s="1"/>
  <c r="H112" i="15"/>
  <c r="E18" i="15"/>
  <c r="F18" i="15" s="1"/>
  <c r="H85" i="15"/>
  <c r="E14" i="15"/>
  <c r="F14" i="15" s="1"/>
  <c r="H81" i="15"/>
  <c r="I17" i="15"/>
  <c r="J17" i="15" s="1"/>
  <c r="G16" i="15"/>
  <c r="H16" i="15" s="1"/>
  <c r="H103" i="15"/>
  <c r="G23" i="15"/>
  <c r="H23" i="15" s="1"/>
  <c r="H110" i="15"/>
  <c r="K7" i="15"/>
  <c r="L7" i="15" s="1"/>
  <c r="H134" i="15"/>
  <c r="I13" i="15"/>
  <c r="J13" i="15" s="1"/>
  <c r="H120" i="15"/>
  <c r="I26" i="15"/>
  <c r="J26" i="15" s="1"/>
  <c r="H133" i="15"/>
  <c r="E9" i="15"/>
  <c r="F9" i="15" s="1"/>
  <c r="H76" i="15"/>
  <c r="G19" i="15"/>
  <c r="H19" i="15" s="1"/>
  <c r="H106" i="15"/>
  <c r="M19" i="15"/>
  <c r="N19" i="15" s="1"/>
  <c r="H166" i="15"/>
  <c r="I19" i="15"/>
  <c r="J19" i="15" s="1"/>
  <c r="H126" i="15"/>
  <c r="K23" i="15"/>
  <c r="L23" i="15" s="1"/>
  <c r="G17" i="15"/>
  <c r="H17" i="15" s="1"/>
  <c r="G20" i="15"/>
  <c r="H20" i="15" s="1"/>
  <c r="G13" i="15"/>
  <c r="H13" i="15" s="1"/>
  <c r="K21" i="15"/>
  <c r="L21" i="15" s="1"/>
  <c r="M18" i="15"/>
  <c r="N18" i="15" s="1"/>
  <c r="M20" i="15"/>
  <c r="N20" i="15" s="1"/>
  <c r="M7" i="15"/>
  <c r="N7" i="15" s="1"/>
  <c r="M26" i="15"/>
  <c r="N26" i="15" s="1"/>
  <c r="M12" i="15"/>
  <c r="N12" i="15" s="1"/>
  <c r="M14" i="15"/>
  <c r="N14" i="15" s="1"/>
  <c r="M23" i="15"/>
  <c r="N23" i="15" s="1"/>
  <c r="M21" i="15"/>
  <c r="N21" i="15" s="1"/>
  <c r="M16" i="15"/>
  <c r="N16" i="15" s="1"/>
  <c r="M15" i="15"/>
  <c r="N15" i="15" s="1"/>
  <c r="K25" i="15"/>
  <c r="L25" i="15" s="1"/>
  <c r="K12" i="15"/>
  <c r="L12" i="15" s="1"/>
  <c r="K10" i="15"/>
  <c r="L10" i="15" s="1"/>
  <c r="K22" i="15"/>
  <c r="L22" i="15" s="1"/>
  <c r="K20" i="15"/>
  <c r="L20" i="15" s="1"/>
  <c r="K16" i="15"/>
  <c r="L16" i="15" s="1"/>
  <c r="K17" i="15"/>
  <c r="L17" i="15" s="1"/>
  <c r="K9" i="15"/>
  <c r="L9" i="15" s="1"/>
  <c r="K26" i="15"/>
  <c r="L26" i="15" s="1"/>
  <c r="K11" i="15"/>
  <c r="L11" i="15" s="1"/>
  <c r="H176" i="15" l="1"/>
  <c r="P3" i="15" s="1"/>
  <c r="B2" i="21" s="1"/>
  <c r="F45" i="14"/>
  <c r="G45" i="14" s="1"/>
  <c r="L101" i="17"/>
  <c r="O101" i="17" s="1"/>
  <c r="O100" i="17"/>
  <c r="T100" i="17" s="1"/>
  <c r="V100" i="17" s="1"/>
  <c r="S17" i="15" l="1"/>
  <c r="E16" i="21" s="1"/>
  <c r="S5" i="15"/>
  <c r="E4" i="21" s="1"/>
  <c r="R19" i="15"/>
  <c r="D18" i="21" s="1"/>
  <c r="P15" i="15"/>
  <c r="B14" i="21" s="1"/>
  <c r="R8" i="15"/>
  <c r="D7" i="21" s="1"/>
  <c r="Q13" i="15"/>
  <c r="C12" i="21" s="1"/>
  <c r="T7" i="15"/>
  <c r="F6" i="21" s="1"/>
  <c r="T11" i="15"/>
  <c r="F10" i="21" s="1"/>
  <c r="Q5" i="15"/>
  <c r="C4" i="21" s="1"/>
  <c r="P17" i="15"/>
  <c r="B16" i="21" s="1"/>
  <c r="S4" i="15"/>
  <c r="E3" i="21" s="1"/>
  <c r="R9" i="15"/>
  <c r="D8" i="21" s="1"/>
  <c r="Q16" i="15"/>
  <c r="C15" i="21" s="1"/>
  <c r="Q14" i="15"/>
  <c r="C13" i="21" s="1"/>
  <c r="T3" i="15"/>
  <c r="F2" i="21" s="1"/>
  <c r="T8" i="15"/>
  <c r="F7" i="21" s="1"/>
  <c r="S18" i="15"/>
  <c r="E17" i="21" s="1"/>
  <c r="R10" i="15"/>
  <c r="D9" i="21" s="1"/>
  <c r="S6" i="15"/>
  <c r="E5" i="21" s="1"/>
  <c r="Q22" i="15"/>
  <c r="C21" i="21" s="1"/>
  <c r="P14" i="15"/>
  <c r="B13" i="21" s="1"/>
  <c r="Q19" i="15"/>
  <c r="C18" i="21" s="1"/>
  <c r="R3" i="15"/>
  <c r="D2" i="21" s="1"/>
  <c r="P5" i="15"/>
  <c r="B4" i="21" s="1"/>
  <c r="T5" i="15"/>
  <c r="F4" i="21" s="1"/>
  <c r="T22" i="15"/>
  <c r="F21" i="21" s="1"/>
  <c r="R4" i="15"/>
  <c r="D3" i="21" s="1"/>
  <c r="T10" i="15"/>
  <c r="F9" i="21" s="1"/>
  <c r="T21" i="15"/>
  <c r="F20" i="21" s="1"/>
  <c r="T17" i="15"/>
  <c r="F16" i="21" s="1"/>
  <c r="S12" i="15"/>
  <c r="E11" i="21" s="1"/>
  <c r="R17" i="15"/>
  <c r="D16" i="21" s="1"/>
  <c r="P9" i="15"/>
  <c r="B8" i="21" s="1"/>
  <c r="Q12" i="15"/>
  <c r="C11" i="21" s="1"/>
  <c r="P16" i="15"/>
  <c r="B15" i="21" s="1"/>
  <c r="R14" i="15"/>
  <c r="D13" i="21" s="1"/>
  <c r="Q8" i="15"/>
  <c r="C7" i="21" s="1"/>
  <c r="R13" i="15"/>
  <c r="D12" i="21" s="1"/>
  <c r="T4" i="15"/>
  <c r="F3" i="21" s="1"/>
  <c r="T9" i="15"/>
  <c r="F8" i="21" s="1"/>
  <c r="T6" i="15"/>
  <c r="F5" i="21" s="1"/>
  <c r="R18" i="15"/>
  <c r="D17" i="21" s="1"/>
  <c r="T15" i="15"/>
  <c r="F14" i="21" s="1"/>
  <c r="R22" i="15"/>
  <c r="D21" i="21" s="1"/>
  <c r="S22" i="15"/>
  <c r="E21" i="21" s="1"/>
  <c r="T13" i="15"/>
  <c r="F12" i="21" s="1"/>
  <c r="R7" i="15"/>
  <c r="D6" i="21" s="1"/>
  <c r="Q20" i="15"/>
  <c r="C19" i="21" s="1"/>
  <c r="Q10" i="15"/>
  <c r="C9" i="21" s="1"/>
  <c r="S14" i="15"/>
  <c r="E13" i="21" s="1"/>
  <c r="S16" i="15"/>
  <c r="E15" i="21" s="1"/>
  <c r="R5" i="15"/>
  <c r="D4" i="21" s="1"/>
  <c r="P22" i="15"/>
  <c r="B21" i="21" s="1"/>
  <c r="P4" i="15"/>
  <c r="B3" i="21" s="1"/>
  <c r="P7" i="15"/>
  <c r="B6" i="21" s="1"/>
  <c r="S20" i="15"/>
  <c r="E19" i="21" s="1"/>
  <c r="R11" i="15"/>
  <c r="D10" i="21" s="1"/>
  <c r="Q7" i="15"/>
  <c r="C6" i="21" s="1"/>
  <c r="T16" i="15"/>
  <c r="F15" i="21" s="1"/>
  <c r="P6" i="15"/>
  <c r="B5" i="21" s="1"/>
  <c r="Q9" i="15"/>
  <c r="C8" i="21" s="1"/>
  <c r="R15" i="15"/>
  <c r="D14" i="21" s="1"/>
  <c r="S7" i="15"/>
  <c r="E6" i="21" s="1"/>
  <c r="S13" i="15"/>
  <c r="E12" i="21" s="1"/>
  <c r="Q3" i="15"/>
  <c r="C2" i="21" s="1"/>
  <c r="S19" i="15"/>
  <c r="E18" i="21" s="1"/>
  <c r="P13" i="15"/>
  <c r="B12" i="21" s="1"/>
  <c r="Q15" i="15"/>
  <c r="C14" i="21" s="1"/>
  <c r="S11" i="15"/>
  <c r="E10" i="21" s="1"/>
  <c r="P19" i="15"/>
  <c r="B18" i="21" s="1"/>
  <c r="P21" i="15"/>
  <c r="B20" i="21" s="1"/>
  <c r="R21" i="15"/>
  <c r="D20" i="21" s="1"/>
  <c r="R6" i="15"/>
  <c r="D5" i="21" s="1"/>
  <c r="P10" i="15"/>
  <c r="B9" i="21" s="1"/>
  <c r="Q17" i="15"/>
  <c r="C16" i="21" s="1"/>
  <c r="T20" i="15"/>
  <c r="F19" i="21" s="1"/>
  <c r="S3" i="15"/>
  <c r="E2" i="21" s="1"/>
  <c r="P8" i="15"/>
  <c r="B7" i="21" s="1"/>
  <c r="T19" i="15"/>
  <c r="F18" i="21" s="1"/>
  <c r="Q18" i="15"/>
  <c r="C17" i="21" s="1"/>
  <c r="P12" i="15"/>
  <c r="B11" i="21" s="1"/>
  <c r="S9" i="15"/>
  <c r="E8" i="21" s="1"/>
  <c r="P11" i="15"/>
  <c r="B10" i="21" s="1"/>
  <c r="S15" i="15"/>
  <c r="E14" i="21" s="1"/>
  <c r="S8" i="15"/>
  <c r="E7" i="21" s="1"/>
  <c r="Q11" i="15"/>
  <c r="C10" i="21" s="1"/>
  <c r="T14" i="15"/>
  <c r="F13" i="21" s="1"/>
  <c r="Q4" i="15"/>
  <c r="C3" i="21" s="1"/>
  <c r="T18" i="15"/>
  <c r="F17" i="21" s="1"/>
  <c r="S21" i="15"/>
  <c r="E20" i="21" s="1"/>
  <c r="S10" i="15"/>
  <c r="E9" i="21" s="1"/>
  <c r="P18" i="15"/>
  <c r="B17" i="21" s="1"/>
  <c r="P20" i="15"/>
  <c r="B19" i="21" s="1"/>
  <c r="Q6" i="15"/>
  <c r="C5" i="21" s="1"/>
  <c r="Q21" i="15"/>
  <c r="C20" i="21" s="1"/>
  <c r="R16" i="15"/>
  <c r="D15" i="21" s="1"/>
  <c r="R20" i="15"/>
  <c r="D19" i="21" s="1"/>
  <c r="T12" i="15"/>
  <c r="F11" i="21" s="1"/>
  <c r="P100" i="17"/>
  <c r="U100" i="17" s="1"/>
  <c r="L102" i="17"/>
  <c r="Q101" i="17"/>
  <c r="P101" i="17"/>
  <c r="U101" i="17" s="1"/>
  <c r="T101" i="17"/>
  <c r="V101" i="17" s="1"/>
  <c r="Q100" i="17"/>
  <c r="O102" i="17" l="1"/>
  <c r="L103" i="17"/>
  <c r="P102" i="17" l="1"/>
  <c r="Q102" i="17"/>
  <c r="T102" i="17"/>
  <c r="O103" i="17"/>
  <c r="L104" i="17"/>
  <c r="O104" i="17" l="1"/>
  <c r="L105" i="17"/>
  <c r="P103" i="17"/>
  <c r="U103" i="17" s="1"/>
  <c r="T103" i="17"/>
  <c r="V103" i="17" s="1"/>
  <c r="Q103" i="17"/>
  <c r="V102" i="17"/>
  <c r="U102" i="17"/>
  <c r="Q104" i="17" l="1"/>
  <c r="T104" i="17"/>
  <c r="P104" i="17"/>
  <c r="O105" i="17"/>
  <c r="L106" i="17"/>
  <c r="O106" i="17" l="1"/>
  <c r="L107" i="17"/>
  <c r="T105" i="17"/>
  <c r="V105" i="17" s="1"/>
  <c r="Q105" i="17"/>
  <c r="P105" i="17"/>
  <c r="U105" i="17" s="1"/>
  <c r="U104" i="17"/>
  <c r="V104" i="17"/>
  <c r="O107" i="17" l="1"/>
  <c r="L108" i="17"/>
  <c r="Q106" i="17"/>
  <c r="P106" i="17"/>
  <c r="U106" i="17" s="1"/>
  <c r="T106" i="17"/>
  <c r="V106" i="17" s="1"/>
  <c r="O108" i="17" l="1"/>
  <c r="L109" i="17"/>
  <c r="P107" i="17"/>
  <c r="U107" i="17" s="1"/>
  <c r="Q107" i="17"/>
  <c r="T107" i="17"/>
  <c r="V107" i="17" s="1"/>
  <c r="Q108" i="17" l="1"/>
  <c r="T108" i="17"/>
  <c r="V108" i="17" s="1"/>
  <c r="P108" i="17"/>
  <c r="U108" i="17" s="1"/>
  <c r="O109" i="17"/>
  <c r="L110" i="17"/>
  <c r="T109" i="17" l="1"/>
  <c r="V109" i="17" s="1"/>
  <c r="P109" i="17"/>
  <c r="U109" i="17" s="1"/>
  <c r="Q109" i="17"/>
  <c r="O110" i="17"/>
  <c r="L111" i="17"/>
  <c r="O111" i="17" l="1"/>
  <c r="L112" i="17"/>
  <c r="Q110" i="17"/>
  <c r="T110" i="17"/>
  <c r="V110" i="17" s="1"/>
  <c r="P110" i="17"/>
  <c r="U110" i="17" s="1"/>
  <c r="O112" i="17" l="1"/>
  <c r="L113" i="17"/>
  <c r="Q111" i="17"/>
  <c r="T111" i="17"/>
  <c r="V111" i="17" s="1"/>
  <c r="P111" i="17"/>
  <c r="U111" i="17" s="1"/>
  <c r="O113" i="17" l="1"/>
  <c r="L114" i="17"/>
  <c r="P112" i="17"/>
  <c r="U112" i="17" s="1"/>
  <c r="Q112" i="17"/>
  <c r="T112" i="17"/>
  <c r="V112" i="17" s="1"/>
  <c r="Q113" i="17" l="1"/>
  <c r="T113" i="17"/>
  <c r="V113" i="17" s="1"/>
  <c r="P113" i="17"/>
  <c r="U113" i="17" s="1"/>
  <c r="O114" i="17"/>
  <c r="L115" i="17"/>
  <c r="O115" i="17" l="1"/>
  <c r="L116" i="17"/>
  <c r="T114" i="17"/>
  <c r="V114" i="17" s="1"/>
  <c r="Q114" i="17"/>
  <c r="P114" i="17"/>
  <c r="U114" i="17" s="1"/>
  <c r="T115" i="17" l="1"/>
  <c r="V115" i="17" s="1"/>
  <c r="P115" i="17"/>
  <c r="U115" i="17" s="1"/>
  <c r="Q115" i="17"/>
  <c r="O116" i="17"/>
  <c r="L116" i="1"/>
  <c r="O117" i="1" s="1"/>
  <c r="L117" i="17"/>
  <c r="T117" i="1" l="1"/>
  <c r="V117" i="1" s="1"/>
  <c r="Q117" i="1"/>
  <c r="P117" i="1"/>
  <c r="U117" i="1" s="1"/>
  <c r="O117" i="17"/>
  <c r="L117" i="1"/>
  <c r="O118" i="1" s="1"/>
  <c r="L118" i="17"/>
  <c r="P116" i="17"/>
  <c r="U116" i="17" s="1"/>
  <c r="Q116" i="17"/>
  <c r="T116" i="17"/>
  <c r="V116" i="17" s="1"/>
  <c r="L118" i="1" l="1"/>
  <c r="O119" i="1" s="1"/>
  <c r="O118" i="17"/>
  <c r="L119" i="17"/>
  <c r="T118" i="1"/>
  <c r="V118" i="1" s="1"/>
  <c r="Q118" i="1"/>
  <c r="P118" i="1"/>
  <c r="U118" i="1" s="1"/>
  <c r="T117" i="17"/>
  <c r="V117" i="17" s="1"/>
  <c r="Q117" i="17"/>
  <c r="P117" i="17"/>
  <c r="U117" i="17" s="1"/>
  <c r="L119" i="1" l="1"/>
  <c r="O120" i="1" s="1"/>
  <c r="O119" i="17"/>
  <c r="L120" i="17"/>
  <c r="Q119" i="1"/>
  <c r="P119" i="1"/>
  <c r="U119" i="1" s="1"/>
  <c r="T119" i="1"/>
  <c r="V119" i="1" s="1"/>
  <c r="Q118" i="17"/>
  <c r="T118" i="17"/>
  <c r="V118" i="17" s="1"/>
  <c r="P118" i="17"/>
  <c r="U118" i="17" s="1"/>
  <c r="O120" i="17" l="1"/>
  <c r="L120" i="1"/>
  <c r="O121" i="1" s="1"/>
  <c r="L121" i="17"/>
  <c r="P119" i="17"/>
  <c r="U119" i="17" s="1"/>
  <c r="Q119" i="17"/>
  <c r="T119" i="17"/>
  <c r="V119" i="17" s="1"/>
  <c r="Q120" i="1"/>
  <c r="P120" i="1"/>
  <c r="U120" i="1" s="1"/>
  <c r="T120" i="1"/>
  <c r="V120" i="1" s="1"/>
  <c r="L121" i="1" l="1"/>
  <c r="O122" i="1" s="1"/>
  <c r="O121" i="17"/>
  <c r="L122" i="17"/>
  <c r="Q121" i="1"/>
  <c r="T121" i="1"/>
  <c r="V121" i="1" s="1"/>
  <c r="P121" i="1"/>
  <c r="U121" i="1" s="1"/>
  <c r="Q120" i="17"/>
  <c r="T120" i="17"/>
  <c r="V120" i="17" s="1"/>
  <c r="P120" i="17"/>
  <c r="U120" i="17" s="1"/>
  <c r="L122" i="1" l="1"/>
  <c r="O123" i="1" s="1"/>
  <c r="O122" i="17"/>
  <c r="L123" i="17"/>
  <c r="Q121" i="17"/>
  <c r="P121" i="17"/>
  <c r="U121" i="17" s="1"/>
  <c r="T121" i="17"/>
  <c r="V121" i="17" s="1"/>
  <c r="Q122" i="1"/>
  <c r="T122" i="1"/>
  <c r="V122" i="1" s="1"/>
  <c r="P122" i="1"/>
  <c r="U122" i="1" s="1"/>
  <c r="L123" i="1" l="1"/>
  <c r="O124" i="1" s="1"/>
  <c r="O123" i="17"/>
  <c r="L124" i="17"/>
  <c r="T122" i="17"/>
  <c r="V122" i="17" s="1"/>
  <c r="P122" i="17"/>
  <c r="U122" i="17" s="1"/>
  <c r="Q122" i="17"/>
  <c r="T123" i="1"/>
  <c r="V123" i="1" s="1"/>
  <c r="P123" i="1"/>
  <c r="U123" i="1" s="1"/>
  <c r="Q123" i="1"/>
  <c r="O124" i="17" l="1"/>
  <c r="L124" i="1"/>
  <c r="O125" i="1" s="1"/>
  <c r="L125" i="17"/>
  <c r="Q123" i="17"/>
  <c r="T123" i="17"/>
  <c r="V123" i="17" s="1"/>
  <c r="P123" i="17"/>
  <c r="U123" i="17" s="1"/>
  <c r="Q124" i="1"/>
  <c r="P124" i="1"/>
  <c r="U124" i="1" s="1"/>
  <c r="T124" i="1"/>
  <c r="V124" i="1" s="1"/>
  <c r="L125" i="1" l="1"/>
  <c r="O126" i="1" s="1"/>
  <c r="O125" i="17"/>
  <c r="L126" i="17"/>
  <c r="T124" i="17"/>
  <c r="V124" i="17" s="1"/>
  <c r="Q124" i="17"/>
  <c r="P124" i="17"/>
  <c r="U124" i="17" s="1"/>
  <c r="Q125" i="1"/>
  <c r="P125" i="1"/>
  <c r="U125" i="1" s="1"/>
  <c r="T125" i="1"/>
  <c r="V125" i="1" s="1"/>
  <c r="O126" i="17" l="1"/>
  <c r="L126" i="1"/>
  <c r="O127" i="1" s="1"/>
  <c r="L127" i="17"/>
  <c r="Q125" i="17"/>
  <c r="P125" i="17"/>
  <c r="U125" i="17" s="1"/>
  <c r="T125" i="17"/>
  <c r="V125" i="17" s="1"/>
  <c r="P126" i="1"/>
  <c r="U126" i="1" s="1"/>
  <c r="Q126" i="1"/>
  <c r="T126" i="1"/>
  <c r="V126" i="1" s="1"/>
  <c r="L127" i="1" l="1"/>
  <c r="O128" i="1" s="1"/>
  <c r="O127" i="17"/>
  <c r="L128" i="17"/>
  <c r="P127" i="1"/>
  <c r="U127" i="1" s="1"/>
  <c r="Q127" i="1"/>
  <c r="T127" i="1"/>
  <c r="V127" i="1" s="1"/>
  <c r="P126" i="17"/>
  <c r="U126" i="17" s="1"/>
  <c r="Q126" i="17"/>
  <c r="T126" i="17"/>
  <c r="V126" i="17" s="1"/>
  <c r="L128" i="1" l="1"/>
  <c r="O129" i="1" s="1"/>
  <c r="O128" i="17"/>
  <c r="L129" i="17"/>
  <c r="P127" i="17"/>
  <c r="U127" i="17" s="1"/>
  <c r="Q127" i="17"/>
  <c r="T127" i="17"/>
  <c r="V127" i="17" s="1"/>
  <c r="P128" i="1"/>
  <c r="U128" i="1" s="1"/>
  <c r="Q128" i="1"/>
  <c r="T128" i="1"/>
  <c r="V128" i="1" s="1"/>
  <c r="L129" i="1" l="1"/>
  <c r="O130" i="1" s="1"/>
  <c r="O129" i="17"/>
  <c r="L130" i="17"/>
  <c r="Q129" i="1"/>
  <c r="P129" i="1"/>
  <c r="U129" i="1" s="1"/>
  <c r="T129" i="1"/>
  <c r="V129" i="1" s="1"/>
  <c r="Q128" i="17"/>
  <c r="T128" i="17"/>
  <c r="V128" i="17" s="1"/>
  <c r="P128" i="17"/>
  <c r="U128" i="17" s="1"/>
  <c r="P130" i="1" l="1"/>
  <c r="U130" i="1" s="1"/>
  <c r="Q130" i="1"/>
  <c r="T130" i="1"/>
  <c r="V130" i="1" s="1"/>
  <c r="O130" i="17"/>
  <c r="L130" i="1"/>
  <c r="O131" i="1" s="1"/>
  <c r="L131" i="17"/>
  <c r="P129" i="17"/>
  <c r="U129" i="17" s="1"/>
  <c r="Q129" i="17"/>
  <c r="T129" i="17"/>
  <c r="V129" i="17" s="1"/>
  <c r="P131" i="1" l="1"/>
  <c r="U131" i="1" s="1"/>
  <c r="T131" i="1"/>
  <c r="V131" i="1" s="1"/>
  <c r="Q131" i="1"/>
  <c r="L131" i="1"/>
  <c r="O132" i="1" s="1"/>
  <c r="O131" i="17"/>
  <c r="L132" i="17"/>
  <c r="P130" i="17"/>
  <c r="U130" i="17" s="1"/>
  <c r="Q130" i="17"/>
  <c r="T130" i="17"/>
  <c r="V130" i="17" s="1"/>
  <c r="L132" i="1" l="1"/>
  <c r="O133" i="1" s="1"/>
  <c r="O132" i="17"/>
  <c r="L133" i="17"/>
  <c r="Q131" i="17"/>
  <c r="T131" i="17"/>
  <c r="V131" i="17" s="1"/>
  <c r="P131" i="17"/>
  <c r="U131" i="17" s="1"/>
  <c r="T132" i="1"/>
  <c r="V132" i="1" s="1"/>
  <c r="Q132" i="1"/>
  <c r="P132" i="1"/>
  <c r="U132" i="1" s="1"/>
  <c r="Q133" i="1" l="1"/>
  <c r="P133" i="1"/>
  <c r="U133" i="1" s="1"/>
  <c r="T133" i="1"/>
  <c r="V133" i="1" s="1"/>
  <c r="O133" i="17"/>
  <c r="L133" i="1"/>
  <c r="O134" i="1" s="1"/>
  <c r="L134" i="17"/>
  <c r="Q132" i="17"/>
  <c r="P132" i="17"/>
  <c r="U132" i="17" s="1"/>
  <c r="T132" i="17"/>
  <c r="V132" i="17" s="1"/>
  <c r="L134" i="1" l="1"/>
  <c r="O135" i="1" s="1"/>
  <c r="O134" i="17"/>
  <c r="L135" i="17"/>
  <c r="Q134" i="1"/>
  <c r="P134" i="1"/>
  <c r="U134" i="1" s="1"/>
  <c r="T134" i="1"/>
  <c r="V134" i="1" s="1"/>
  <c r="Q133" i="17"/>
  <c r="P133" i="17"/>
  <c r="U133" i="17" s="1"/>
  <c r="T133" i="17"/>
  <c r="V133" i="17" s="1"/>
  <c r="O135" i="17" l="1"/>
  <c r="L135" i="1"/>
  <c r="O136" i="1" s="1"/>
  <c r="L136" i="17"/>
  <c r="Q134" i="17"/>
  <c r="T134" i="17"/>
  <c r="V134" i="17" s="1"/>
  <c r="P134" i="17"/>
  <c r="U134" i="17" s="1"/>
  <c r="T135" i="1"/>
  <c r="V135" i="1" s="1"/>
  <c r="Q135" i="1"/>
  <c r="P135" i="1"/>
  <c r="U135" i="1" s="1"/>
  <c r="O136" i="17" l="1"/>
  <c r="L136" i="1"/>
  <c r="O137" i="1" s="1"/>
  <c r="L137" i="17"/>
  <c r="P135" i="17"/>
  <c r="U135" i="17" s="1"/>
  <c r="T135" i="17"/>
  <c r="V135" i="17" s="1"/>
  <c r="Q135" i="17"/>
  <c r="Q136" i="1"/>
  <c r="T136" i="1"/>
  <c r="V136" i="1" s="1"/>
  <c r="P136" i="1"/>
  <c r="U136" i="1" s="1"/>
  <c r="O137" i="17" l="1"/>
  <c r="L137" i="1"/>
  <c r="O138" i="1" s="1"/>
  <c r="L138" i="17"/>
  <c r="Q137" i="1"/>
  <c r="P137" i="1"/>
  <c r="U137" i="1" s="1"/>
  <c r="T137" i="1"/>
  <c r="V137" i="1" s="1"/>
  <c r="Q136" i="17"/>
  <c r="P136" i="17"/>
  <c r="U136" i="17" s="1"/>
  <c r="T136" i="17"/>
  <c r="V136" i="17" s="1"/>
  <c r="O138" i="17" l="1"/>
  <c r="L138" i="1"/>
  <c r="O139" i="1" s="1"/>
  <c r="L139" i="17"/>
  <c r="P138" i="1"/>
  <c r="U138" i="1" s="1"/>
  <c r="Q138" i="1"/>
  <c r="T138" i="1"/>
  <c r="V138" i="1" s="1"/>
  <c r="T137" i="17"/>
  <c r="V137" i="17" s="1"/>
  <c r="P137" i="17"/>
  <c r="U137" i="17" s="1"/>
  <c r="Q137" i="17"/>
  <c r="O139" i="17" l="1"/>
  <c r="L139" i="1"/>
  <c r="O140" i="1" s="1"/>
  <c r="L140" i="17"/>
  <c r="P139" i="1"/>
  <c r="U139" i="1" s="1"/>
  <c r="Q139" i="1"/>
  <c r="T139" i="1"/>
  <c r="V139" i="1" s="1"/>
  <c r="P138" i="17"/>
  <c r="U138" i="17" s="1"/>
  <c r="Q138" i="17"/>
  <c r="T138" i="17"/>
  <c r="V138" i="17" s="1"/>
  <c r="O140" i="17" l="1"/>
  <c r="L140" i="1"/>
  <c r="O141" i="1" s="1"/>
  <c r="L141" i="17"/>
  <c r="Q140" i="1"/>
  <c r="P140" i="1"/>
  <c r="U140" i="1" s="1"/>
  <c r="T140" i="1"/>
  <c r="V140" i="1" s="1"/>
  <c r="P139" i="17"/>
  <c r="U139" i="17" s="1"/>
  <c r="Q139" i="17"/>
  <c r="T139" i="17"/>
  <c r="V139" i="17" s="1"/>
  <c r="L141" i="1" l="1"/>
  <c r="O142" i="1" s="1"/>
  <c r="O141" i="17"/>
  <c r="L142" i="17"/>
  <c r="P141" i="1"/>
  <c r="U141" i="1" s="1"/>
  <c r="T141" i="1"/>
  <c r="V141" i="1" s="1"/>
  <c r="Q141" i="1"/>
  <c r="Q140" i="17"/>
  <c r="P140" i="17"/>
  <c r="U140" i="17" s="1"/>
  <c r="T140" i="17"/>
  <c r="V140" i="17" s="1"/>
  <c r="O142" i="17" l="1"/>
  <c r="L143" i="17"/>
  <c r="L142" i="1"/>
  <c r="O143" i="1" s="1"/>
  <c r="P141" i="17"/>
  <c r="U141" i="17" s="1"/>
  <c r="Q141" i="17"/>
  <c r="T141" i="17"/>
  <c r="V141" i="17" s="1"/>
  <c r="P142" i="1"/>
  <c r="U142" i="1" s="1"/>
  <c r="Q142" i="1"/>
  <c r="T142" i="1"/>
  <c r="V142" i="1" s="1"/>
  <c r="P143" i="1" l="1"/>
  <c r="U143" i="1" s="1"/>
  <c r="Q143" i="1"/>
  <c r="T143" i="1"/>
  <c r="V143" i="1" s="1"/>
  <c r="O143" i="17"/>
  <c r="L144" i="17"/>
  <c r="L143" i="1"/>
  <c r="O144" i="1" s="1"/>
  <c r="Q142" i="17"/>
  <c r="T142" i="17"/>
  <c r="V142" i="17" s="1"/>
  <c r="P142" i="17"/>
  <c r="U142" i="17" s="1"/>
  <c r="Q144" i="1" l="1"/>
  <c r="P144" i="1"/>
  <c r="U144" i="1" s="1"/>
  <c r="T144" i="1"/>
  <c r="V144" i="1" s="1"/>
  <c r="P143" i="17"/>
  <c r="U143" i="17" s="1"/>
  <c r="Q143" i="17"/>
  <c r="T143" i="17"/>
  <c r="V143" i="17" s="1"/>
  <c r="O144" i="17"/>
  <c r="L144" i="1"/>
  <c r="O145" i="1" s="1"/>
  <c r="L145" i="17"/>
  <c r="Q145" i="1" l="1"/>
  <c r="P145" i="1"/>
  <c r="U145" i="1" s="1"/>
  <c r="T145" i="1"/>
  <c r="V145" i="1" s="1"/>
  <c r="Q144" i="17"/>
  <c r="P144" i="17"/>
  <c r="U144" i="17" s="1"/>
  <c r="T144" i="17"/>
  <c r="V144" i="17" s="1"/>
  <c r="L145" i="1"/>
  <c r="O146" i="1" s="1"/>
  <c r="L146" i="17"/>
  <c r="O145" i="17"/>
  <c r="L147" i="17" l="1"/>
  <c r="O146" i="17"/>
  <c r="L146" i="1"/>
  <c r="O147" i="1" s="1"/>
  <c r="T146" i="1"/>
  <c r="V146" i="1" s="1"/>
  <c r="P146" i="1"/>
  <c r="U146" i="1" s="1"/>
  <c r="Q146" i="1"/>
  <c r="Q145" i="17"/>
  <c r="P145" i="17"/>
  <c r="U145" i="17" s="1"/>
  <c r="T145" i="17"/>
  <c r="V145" i="17" s="1"/>
  <c r="Q146" i="17" l="1"/>
  <c r="P146" i="17"/>
  <c r="U146" i="17" s="1"/>
  <c r="T146" i="17"/>
  <c r="V146" i="17" s="1"/>
  <c r="Q147" i="1"/>
  <c r="T147" i="1"/>
  <c r="V147" i="1" s="1"/>
  <c r="P147" i="1"/>
  <c r="U147" i="1" s="1"/>
  <c r="O147" i="17"/>
  <c r="L147" i="1"/>
  <c r="O148" i="1" s="1"/>
  <c r="L148" i="17"/>
  <c r="T148" i="1" l="1"/>
  <c r="V148" i="1" s="1"/>
  <c r="P148" i="1"/>
  <c r="U148" i="1" s="1"/>
  <c r="Q148" i="1"/>
  <c r="P147" i="17"/>
  <c r="U147" i="17" s="1"/>
  <c r="T147" i="17"/>
  <c r="V147" i="17" s="1"/>
  <c r="Q147" i="17"/>
  <c r="O148" i="17"/>
  <c r="L149" i="17"/>
  <c r="L148" i="1"/>
  <c r="O149" i="1" s="1"/>
  <c r="Q148" i="17" l="1"/>
  <c r="T148" i="17"/>
  <c r="V148" i="17" s="1"/>
  <c r="P148" i="17"/>
  <c r="U148" i="17" s="1"/>
  <c r="O149" i="17"/>
  <c r="L149" i="1"/>
  <c r="O150" i="1" s="1"/>
  <c r="L150" i="17"/>
  <c r="Q149" i="1"/>
  <c r="P149" i="1"/>
  <c r="U149" i="1" s="1"/>
  <c r="T149" i="1"/>
  <c r="V149" i="1" s="1"/>
  <c r="T149" i="17" l="1"/>
  <c r="V149" i="17" s="1"/>
  <c r="P149" i="17"/>
  <c r="U149" i="17" s="1"/>
  <c r="Q149" i="17"/>
  <c r="Q150" i="1"/>
  <c r="T150" i="1"/>
  <c r="V150" i="1" s="1"/>
  <c r="P150" i="1"/>
  <c r="U150" i="1" s="1"/>
  <c r="O150" i="17"/>
  <c r="L150" i="1"/>
  <c r="O151" i="1" s="1"/>
  <c r="L151" i="17"/>
  <c r="Q151" i="1" l="1"/>
  <c r="P151" i="1"/>
  <c r="U151" i="1" s="1"/>
  <c r="T151" i="1"/>
  <c r="V151" i="1" s="1"/>
  <c r="T150" i="17"/>
  <c r="V150" i="17" s="1"/>
  <c r="Q150" i="17"/>
  <c r="P150" i="17"/>
  <c r="U150" i="17" s="1"/>
  <c r="L151" i="1"/>
  <c r="O152" i="1" s="1"/>
  <c r="L152" i="17"/>
  <c r="O151" i="17"/>
  <c r="Q152" i="1" l="1"/>
  <c r="P152" i="1"/>
  <c r="U152" i="1" s="1"/>
  <c r="T152" i="1"/>
  <c r="V152" i="1" s="1"/>
  <c r="O152" i="17"/>
  <c r="L152" i="1"/>
  <c r="O153" i="1" s="1"/>
  <c r="L153" i="17"/>
  <c r="Q151" i="17"/>
  <c r="T151" i="17"/>
  <c r="V151" i="17" s="1"/>
  <c r="P151" i="17"/>
  <c r="U151" i="17" s="1"/>
  <c r="O153" i="17" l="1"/>
  <c r="L154" i="17"/>
  <c r="L153" i="1"/>
  <c r="O154" i="1" s="1"/>
  <c r="P152" i="17"/>
  <c r="U152" i="17" s="1"/>
  <c r="T152" i="17"/>
  <c r="V152" i="17" s="1"/>
  <c r="Q152" i="17"/>
  <c r="Q153" i="1"/>
  <c r="T153" i="1"/>
  <c r="V153" i="1" s="1"/>
  <c r="P153" i="1"/>
  <c r="U153" i="1" s="1"/>
  <c r="Q154" i="1" l="1"/>
  <c r="T154" i="1"/>
  <c r="V154" i="1" s="1"/>
  <c r="P154" i="1"/>
  <c r="U154" i="1" s="1"/>
  <c r="L155" i="17"/>
  <c r="L154" i="1"/>
  <c r="O155" i="1" s="1"/>
  <c r="O154" i="17"/>
  <c r="T153" i="17"/>
  <c r="V153" i="17" s="1"/>
  <c r="Q153" i="17"/>
  <c r="P153" i="17"/>
  <c r="U153" i="17" s="1"/>
  <c r="O155" i="17" l="1"/>
  <c r="L155" i="1"/>
  <c r="O156" i="1" s="1"/>
  <c r="L156" i="17"/>
  <c r="Q154" i="17"/>
  <c r="T154" i="17"/>
  <c r="V154" i="17" s="1"/>
  <c r="P154" i="17"/>
  <c r="U154" i="17" s="1"/>
  <c r="Q155" i="1"/>
  <c r="T155" i="1"/>
  <c r="V155" i="1" s="1"/>
  <c r="P155" i="1"/>
  <c r="U155" i="1" s="1"/>
  <c r="Q156" i="1" l="1"/>
  <c r="T156" i="1"/>
  <c r="V156" i="1" s="1"/>
  <c r="P156" i="1"/>
  <c r="U156" i="1" s="1"/>
  <c r="L157" i="17"/>
  <c r="O156" i="17"/>
  <c r="L156" i="1"/>
  <c r="O157" i="1" s="1"/>
  <c r="P155" i="17"/>
  <c r="U155" i="17" s="1"/>
  <c r="T155" i="17"/>
  <c r="V155" i="17" s="1"/>
  <c r="Q155" i="17"/>
  <c r="Q156" i="17" l="1"/>
  <c r="T156" i="17"/>
  <c r="V156" i="17" s="1"/>
  <c r="P156" i="17"/>
  <c r="U156" i="17" s="1"/>
  <c r="T157" i="1"/>
  <c r="V157" i="1" s="1"/>
  <c r="P157" i="1"/>
  <c r="U157" i="1" s="1"/>
  <c r="Q157" i="1"/>
  <c r="O157" i="17"/>
  <c r="L157" i="1"/>
  <c r="O158" i="1" s="1"/>
  <c r="L158" i="17"/>
  <c r="Q158" i="1" l="1"/>
  <c r="P158" i="1"/>
  <c r="U158" i="1" s="1"/>
  <c r="T158" i="1"/>
  <c r="V158" i="1" s="1"/>
  <c r="O158" i="17"/>
  <c r="L159" i="17"/>
  <c r="L158" i="1"/>
  <c r="O159" i="1" s="1"/>
  <c r="P157" i="17"/>
  <c r="U157" i="17" s="1"/>
  <c r="T157" i="17"/>
  <c r="V157" i="17" s="1"/>
  <c r="Q157" i="17"/>
  <c r="L159" i="1" l="1"/>
  <c r="O160" i="1" s="1"/>
  <c r="L160" i="17"/>
  <c r="O159" i="17"/>
  <c r="Q159" i="1"/>
  <c r="P159" i="1"/>
  <c r="U159" i="1" s="1"/>
  <c r="T159" i="1"/>
  <c r="V159" i="1" s="1"/>
  <c r="Q158" i="17"/>
  <c r="T158" i="17"/>
  <c r="V158" i="17" s="1"/>
  <c r="P158" i="17"/>
  <c r="U158" i="17" s="1"/>
  <c r="Q160" i="1" l="1"/>
  <c r="T160" i="1"/>
  <c r="V160" i="1" s="1"/>
  <c r="P160" i="1"/>
  <c r="U160" i="1" s="1"/>
  <c r="Q159" i="17"/>
  <c r="P159" i="17"/>
  <c r="U159" i="17" s="1"/>
  <c r="T159" i="17"/>
  <c r="V159" i="17" s="1"/>
  <c r="L161" i="17"/>
  <c r="L160" i="1"/>
  <c r="O161" i="1" s="1"/>
  <c r="O160" i="17"/>
  <c r="Q160" i="17" l="1"/>
  <c r="P160" i="17"/>
  <c r="U160" i="17" s="1"/>
  <c r="T160" i="17"/>
  <c r="V160" i="17" s="1"/>
  <c r="O161" i="17"/>
  <c r="L162" i="17"/>
  <c r="L161" i="1"/>
  <c r="O162" i="1" s="1"/>
  <c r="Q161" i="1"/>
  <c r="T161" i="1"/>
  <c r="V161" i="1" s="1"/>
  <c r="P161" i="1"/>
  <c r="U161" i="1" s="1"/>
  <c r="Q162" i="1" l="1"/>
  <c r="T162" i="1"/>
  <c r="V162" i="1" s="1"/>
  <c r="P162" i="1"/>
  <c r="U162" i="1" s="1"/>
  <c r="L163" i="17"/>
  <c r="L162" i="1"/>
  <c r="O163" i="1" s="1"/>
  <c r="O162" i="17"/>
  <c r="P161" i="17"/>
  <c r="U161" i="17" s="1"/>
  <c r="T161" i="17"/>
  <c r="V161" i="17" s="1"/>
  <c r="Q161" i="17"/>
  <c r="Q162" i="17" l="1"/>
  <c r="T162" i="17"/>
  <c r="V162" i="17" s="1"/>
  <c r="P162" i="17"/>
  <c r="U162" i="17" s="1"/>
  <c r="Q163" i="1"/>
  <c r="T163" i="1"/>
  <c r="V163" i="1" s="1"/>
  <c r="P163" i="1"/>
  <c r="U163" i="1" s="1"/>
  <c r="L163" i="1"/>
  <c r="O164" i="1" s="1"/>
  <c r="O163" i="17"/>
  <c r="L164" i="17"/>
  <c r="Q163" i="17" l="1"/>
  <c r="P163" i="17"/>
  <c r="U163" i="17" s="1"/>
  <c r="T163" i="17"/>
  <c r="V163" i="17" s="1"/>
  <c r="Q164" i="1"/>
  <c r="T164" i="1"/>
  <c r="V164" i="1" s="1"/>
  <c r="P164" i="1"/>
  <c r="U164" i="1" s="1"/>
  <c r="L164" i="1"/>
  <c r="O165" i="1" s="1"/>
  <c r="L165" i="17"/>
  <c r="O164" i="17"/>
  <c r="L166" i="17" l="1"/>
  <c r="O165" i="17"/>
  <c r="L165" i="1"/>
  <c r="O166" i="1" s="1"/>
  <c r="Q165" i="1"/>
  <c r="P165" i="1"/>
  <c r="U165" i="1" s="1"/>
  <c r="T165" i="1"/>
  <c r="V165" i="1" s="1"/>
  <c r="Q164" i="17"/>
  <c r="T164" i="17"/>
  <c r="V164" i="17" s="1"/>
  <c r="P164" i="17"/>
  <c r="U164" i="17" s="1"/>
  <c r="Q166" i="1" l="1"/>
  <c r="T166" i="1"/>
  <c r="V166" i="1" s="1"/>
  <c r="P166" i="1"/>
  <c r="U166" i="1" s="1"/>
  <c r="Q165" i="17"/>
  <c r="T165" i="17"/>
  <c r="V165" i="17" s="1"/>
  <c r="P165" i="17"/>
  <c r="U165" i="17" s="1"/>
  <c r="O166" i="17"/>
  <c r="L166" i="1"/>
  <c r="O167" i="1" s="1"/>
  <c r="L167" i="17"/>
  <c r="O167" i="17" l="1"/>
  <c r="L168" i="17"/>
  <c r="L167" i="1"/>
  <c r="O168" i="1" s="1"/>
  <c r="Q166" i="17"/>
  <c r="P166" i="17"/>
  <c r="U166" i="17" s="1"/>
  <c r="T166" i="17"/>
  <c r="V166" i="17" s="1"/>
  <c r="Q167" i="1"/>
  <c r="P167" i="1"/>
  <c r="U167" i="1" s="1"/>
  <c r="T167" i="1"/>
  <c r="V167" i="1" s="1"/>
  <c r="T168" i="1" l="1"/>
  <c r="V168" i="1" s="1"/>
  <c r="Q168" i="1"/>
  <c r="P168" i="1"/>
  <c r="U168" i="1" s="1"/>
  <c r="L169" i="17"/>
  <c r="O168" i="17"/>
  <c r="L168" i="1"/>
  <c r="O169" i="1" s="1"/>
  <c r="Q167" i="17"/>
  <c r="T167" i="17"/>
  <c r="V167" i="17" s="1"/>
  <c r="P167" i="17"/>
  <c r="U167" i="17" s="1"/>
  <c r="P168" i="17" l="1"/>
  <c r="U168" i="17" s="1"/>
  <c r="Q168" i="17"/>
  <c r="T168" i="17"/>
  <c r="V168" i="17" s="1"/>
  <c r="Q169" i="1"/>
  <c r="P169" i="1"/>
  <c r="U169" i="1" s="1"/>
  <c r="T169" i="1"/>
  <c r="V169" i="1" s="1"/>
  <c r="O169" i="17"/>
  <c r="L170" i="17"/>
  <c r="L169" i="1"/>
  <c r="O170" i="1" s="1"/>
  <c r="Q169" i="17" l="1"/>
  <c r="P169" i="17"/>
  <c r="U169" i="17" s="1"/>
  <c r="T169" i="17"/>
  <c r="V169" i="17" s="1"/>
  <c r="O170" i="17"/>
  <c r="L171" i="17"/>
  <c r="L170" i="1"/>
  <c r="O171" i="1" s="1"/>
  <c r="P170" i="1"/>
  <c r="U170" i="1" s="1"/>
  <c r="Q170" i="1"/>
  <c r="T170" i="1"/>
  <c r="V170" i="1" s="1"/>
  <c r="Q170" i="17" l="1"/>
  <c r="P170" i="17"/>
  <c r="U170" i="17" s="1"/>
  <c r="T170" i="17"/>
  <c r="V170" i="17" s="1"/>
  <c r="Q171" i="1"/>
  <c r="T171" i="1"/>
  <c r="V171" i="1" s="1"/>
  <c r="P171" i="1"/>
  <c r="U171" i="1" s="1"/>
  <c r="L171" i="1"/>
  <c r="O172" i="1" s="1"/>
  <c r="L172" i="17"/>
  <c r="O171" i="17"/>
  <c r="O172" i="17" l="1"/>
  <c r="L172" i="1"/>
  <c r="O173" i="1" s="1"/>
  <c r="L173" i="17"/>
  <c r="P172" i="1"/>
  <c r="U172" i="1" s="1"/>
  <c r="Q172" i="1"/>
  <c r="T172" i="1"/>
  <c r="V172" i="1" s="1"/>
  <c r="Q171" i="17"/>
  <c r="T171" i="17"/>
  <c r="V171" i="17" s="1"/>
  <c r="P171" i="17"/>
  <c r="U171" i="17" s="1"/>
  <c r="L173" i="1" l="1"/>
  <c r="O173" i="17"/>
  <c r="T173" i="1"/>
  <c r="V173" i="1" s="1"/>
  <c r="Q173" i="1"/>
  <c r="P173" i="1"/>
  <c r="U173" i="1" s="1"/>
  <c r="P172" i="17"/>
  <c r="U172" i="17" s="1"/>
  <c r="Q172" i="17"/>
  <c r="T172" i="17"/>
  <c r="V172" i="17" s="1"/>
  <c r="Q173" i="17" l="1"/>
  <c r="Q174" i="17" s="1"/>
  <c r="P173" i="17"/>
  <c r="T173" i="17"/>
  <c r="O174" i="17"/>
  <c r="O175" i="17" s="1"/>
  <c r="U173" i="17" l="1"/>
  <c r="U174" i="17" s="1"/>
  <c r="P174" i="17"/>
  <c r="M181" i="17" s="1"/>
  <c r="V173" i="17"/>
  <c r="V174" i="17" s="1"/>
  <c r="T174" i="17"/>
  <c r="T175" i="17" s="1"/>
  <c r="M177" i="17"/>
  <c r="M183" i="17" l="1"/>
  <c r="L4" i="2" s="1"/>
  <c r="R177" i="17"/>
  <c r="R181" i="17"/>
  <c r="L4" i="16" l="1"/>
  <c r="L4" i="17"/>
  <c r="L4" i="1"/>
  <c r="L4" i="14"/>
  <c r="L4" i="15"/>
  <c r="R183" i="17"/>
  <c r="N4" i="16" s="1"/>
  <c r="N4" i="17" l="1"/>
  <c r="N4" i="1"/>
  <c r="N4" i="15"/>
  <c r="N4" i="14"/>
  <c r="N4" i="2"/>
</calcChain>
</file>

<file path=xl/sharedStrings.xml><?xml version="1.0" encoding="utf-8"?>
<sst xmlns="http://schemas.openxmlformats.org/spreadsheetml/2006/main" count="420" uniqueCount="156">
  <si>
    <t>BESCHREIBUNG</t>
  </si>
  <si>
    <t>FUNKTION</t>
  </si>
  <si>
    <t>A</t>
  </si>
  <si>
    <t>B</t>
  </si>
  <si>
    <t>C</t>
  </si>
  <si>
    <t xml:space="preserve">                                                                                             </t>
  </si>
  <si>
    <t>→ Begrenzung: Wenn IrI_2 = 0, dann xMIN ≤ xEINGABE ≤ xMAX</t>
  </si>
  <si>
    <t>D</t>
  </si>
  <si>
    <t>E</t>
  </si>
  <si>
    <t>Übertrag:</t>
  </si>
  <si>
    <t>Berechne  Konstantentherm A</t>
  </si>
  <si>
    <t>Berechne Regress. Koeff. B</t>
  </si>
  <si>
    <t>Berechne s</t>
  </si>
  <si>
    <t>Berechne x50%</t>
  </si>
  <si>
    <t>x - Werte</t>
  </si>
  <si>
    <t>y - Werte</t>
  </si>
  <si>
    <t>fi - Werte</t>
  </si>
  <si>
    <t>Berechne grösste rel. Dichte unter xs</t>
  </si>
  <si>
    <t>x' - Werte</t>
  </si>
  <si>
    <t>fix/fimax</t>
  </si>
  <si>
    <t xml:space="preserve">FALL </t>
  </si>
  <si>
    <t>dann folgt x =</t>
  </si>
  <si>
    <t>dann folgt y [%] =</t>
  </si>
  <si>
    <t>y [%] bei: (x1% - X50% - x99%)</t>
  </si>
  <si>
    <t>Konstantentherm A =</t>
  </si>
  <si>
    <t xml:space="preserve">Regressionskoeffizient B = </t>
  </si>
  <si>
    <t>dazu Hilfswert x1</t>
  </si>
  <si>
    <t>dazu Hilfswert x99</t>
  </si>
  <si>
    <t>Übertrag Vorgabe x1%</t>
  </si>
  <si>
    <t>Übertrag Vorgabe x99%</t>
  </si>
  <si>
    <t>Berechne xs</t>
  </si>
  <si>
    <t>Wenn y [%] = (1≤ Abfrage ≤99)</t>
  </si>
  <si>
    <t xml:space="preserve">zum "Absturz". Um dies zu umgehen, können die beiden Grenzwerte um soviele Potenzen "verkleinert" werden, dass sie sich höchstens  </t>
  </si>
  <si>
    <t>bis</t>
  </si>
  <si>
    <t>GEZOGENE ZUFALLSZAHLEN (unten):</t>
  </si>
  <si>
    <t>ZIEHUNGSBREITE UNTEN</t>
  </si>
  <si>
    <t>ZIEHUNGSBREITE OBEN</t>
  </si>
  <si>
    <t>GRENZE UNTEN</t>
  </si>
  <si>
    <t>GRENZE OBEN</t>
  </si>
  <si>
    <t>normal - symmetrische Verteilung</t>
  </si>
  <si>
    <t>normal - rechtsschiefe Verteilung</t>
  </si>
  <si>
    <t>normal  - linksschiefe Verteilung</t>
  </si>
  <si>
    <t>EXPnormal  - linksschiefe Verteilung</t>
  </si>
  <si>
    <t>LOGnormal  - rechtsschiefe Verteilung</t>
  </si>
  <si>
    <t>Zahlen gleichverteilt</t>
  </si>
  <si>
    <t>GV</t>
  </si>
  <si>
    <t>Yi [%] = {[e^(B*xi + A)] / [e^(B*xi + A) +1]}*100</t>
  </si>
  <si>
    <t xml:space="preserve">Yi [%] = {e^ [-A*e^(B*xi)]}*100  </t>
  </si>
  <si>
    <t xml:space="preserve">Yi [%] = {1 - [e^ [-A*e^(B*xi)]]}*100  </t>
  </si>
  <si>
    <t xml:space="preserve">Yi [%] = {[e^(B*ln(xi) + A)] / [e^(B*ln(xi) + A) +1]}*100  </t>
  </si>
  <si>
    <t>xMIN = x1 = 1% - Quantilwert in der Urne</t>
  </si>
  <si>
    <t>xMAX = x99 = 99% - Quantilwert in der Urne</t>
  </si>
  <si>
    <t>Gewünschte Anzahl Zufallszahlen [ZZ]</t>
  </si>
  <si>
    <t xml:space="preserve">Yi [%] = {{[(xi-Xmin)/(xmax-xmin)]*(1-n^-1)} +n^-1}*100 </t>
  </si>
  <si>
    <t xml:space="preserve">Yi [%] = {[e^(B*e^xi + A)] / [e^(B*e^xi + A) +1]}*100 </t>
  </si>
  <si>
    <t>Vorgaben Entnahmebereich (xmin' - xmax')</t>
  </si>
  <si>
    <t>Abfrage INNERHALB des Entnahmebereichs</t>
  </si>
  <si>
    <t>ABFRAGE DER UNTERSCHREITUNGSHÄUFIGKEIT EINER GEZOGENEN ZUFALLSZAHL</t>
  </si>
  <si>
    <t>INNERHALB DES FESTGELEGTEN ENTNAHMEBEREICHS</t>
  </si>
  <si>
    <t>ZUFALLSZAHLEN von</t>
  </si>
  <si>
    <t>BANDBREITE DER URNE von</t>
  </si>
  <si>
    <t>ANZAHL ZZ</t>
  </si>
  <si>
    <t>GEZOGENE ZUFALLSZAHLEN</t>
  </si>
  <si>
    <t>Ziehung 1 bis 20, sortiert</t>
  </si>
  <si>
    <t>Ziehung 21 bis 40, sortiert</t>
  </si>
  <si>
    <t>Ziehung 41 bis 60, sortiert</t>
  </si>
  <si>
    <t>Ziehung 61 bis 80, sortiert</t>
  </si>
  <si>
    <t>Ziehung 81 bis 100, sortiert</t>
  </si>
  <si>
    <t>ganze Zahl</t>
  </si>
  <si>
    <t>Zufall gleichverteilt</t>
  </si>
  <si>
    <t>gleichverteilt geordnet</t>
  </si>
  <si>
    <t>ZZ</t>
  </si>
  <si>
    <t>Zufallszahl</t>
  </si>
  <si>
    <t>Wenn x = (B23 ≤Abfrage≤ D23)</t>
  </si>
  <si>
    <t>Übertrag x'max</t>
  </si>
  <si>
    <t>Übertrag x'min</t>
  </si>
  <si>
    <t>ZZi</t>
  </si>
  <si>
    <t>y'(x'max) =</t>
  </si>
  <si>
    <t>y'(x'min) =</t>
  </si>
  <si>
    <t>xZufall für Tabelle!!</t>
  </si>
  <si>
    <t>xZufall Grafik</t>
  </si>
  <si>
    <t>Zzi Grafik</t>
  </si>
  <si>
    <t>Grafik stimmt nur über die ausgedrucken Zahlenreihen!!</t>
  </si>
  <si>
    <t>d.h. wenn z.B. 19 ZZ, dann nur für 2x19 Zahlen!!</t>
  </si>
  <si>
    <t>x</t>
  </si>
  <si>
    <t>x2</t>
  </si>
  <si>
    <t>y</t>
  </si>
  <si>
    <t>y2</t>
  </si>
  <si>
    <t>x*y</t>
  </si>
  <si>
    <t>Formular für Korelationskoeffizient "exakt"</t>
  </si>
  <si>
    <t>Formular für Korelationskoeffizient "gerundet"</t>
  </si>
  <si>
    <t>Zähler =</t>
  </si>
  <si>
    <t>Anzahl =</t>
  </si>
  <si>
    <t>Nenner 1=</t>
  </si>
  <si>
    <t>Nenner 2=</t>
  </si>
  <si>
    <t>r =</t>
  </si>
  <si>
    <t>Nenner 1 =</t>
  </si>
  <si>
    <t>Nenner 2 =</t>
  </si>
  <si>
    <t>r für ZZ:</t>
  </si>
  <si>
    <t>neu: y = (D25) = textlich:</t>
  </si>
  <si>
    <t xml:space="preserve">                                                                                                                                [(y' aus xVorgabe - y' aus xminVorgabe) / (y' aus xmaxVorgabe - y' aus xminVorgabe)]*98 + 1</t>
  </si>
  <si>
    <t>wobei y' aus xVorgabe: (Formel):</t>
  </si>
  <si>
    <t>und y' aus xminVorgabe: (Formel):</t>
  </si>
  <si>
    <t>und y' aus xmaxVorgabe: (Formel):</t>
  </si>
  <si>
    <t>Umkehrung mit x = wieviel?:</t>
  </si>
  <si>
    <t>neu: x = (D26) = textlich:</t>
  </si>
  <si>
    <t>[(ln(px'/(1-px') - A]/B</t>
  </si>
  <si>
    <t>wobei px': textlich =</t>
  </si>
  <si>
    <t xml:space="preserve">                                                                                                                     [(y'Vorgabe - 1)/98]*[y'ausxmaxVorgabe-y'aus x'minVorgabe]+y'aus xminVorgabe</t>
  </si>
  <si>
    <t>somit px' (Formel):</t>
  </si>
  <si>
    <t>und dann einsetzen von B41 in B39</t>
  </si>
  <si>
    <t>wobei B39 in D26 berechnet</t>
  </si>
  <si>
    <t xml:space="preserve"> </t>
  </si>
  <si>
    <t>{ln[ln(px)/A]}/B</t>
  </si>
  <si>
    <t>{ln[ln(1-px)/-A]}/-B</t>
  </si>
  <si>
    <t>{{ln[ln(px/(1-px))/-A]}/B}*XmaxBandbreite</t>
  </si>
  <si>
    <t>exp{[ln(px/(1-px))/-A]}/-B}</t>
  </si>
  <si>
    <t>[(y'Vorgabe - 1)/98]*[y'ausxmaxVorgabe-y'aus x'minVorgabe]+y'aus xminVorgabe</t>
  </si>
  <si>
    <t>x-Werte</t>
  </si>
  <si>
    <t>y- Werte</t>
  </si>
  <si>
    <t xml:space="preserve">im zweistelligen Bereich bewegen. Beispiel: Statt x1= 3 und x99 = 35000 --&gt; x1 = 0.003 und x99 = 35. Weil damit u. U. die LOGnormal - Funktion (FALL D) </t>
  </si>
  <si>
    <t>rechnen. Bei FALL A sowie bei Fall E und FALL GV kommen beide Vorgabevarianten für x1 und x99 in Betracht.</t>
  </si>
  <si>
    <t xml:space="preserve"> [(a/b]*98 + 1</t>
  </si>
  <si>
    <t>wobei a = (Formel):</t>
  </si>
  <si>
    <t>und  b = (Formel):</t>
  </si>
  <si>
    <t>absolute  Dichte (konstant)</t>
  </si>
  <si>
    <t>Regressionskoeffizient B =</t>
  </si>
  <si>
    <t>ZufallsPROZENTE zw. 1 und 99</t>
  </si>
  <si>
    <t>gewünschte Anzahl ZZ</t>
  </si>
  <si>
    <t>ZufallsPROZENTE bez. auf Entnahmebereich</t>
  </si>
  <si>
    <t>Hilfswert Diff.</t>
  </si>
  <si>
    <t>Hilfswert für Spalte O</t>
  </si>
  <si>
    <t>SOWIE DER ENTSPRECHENDEN, GERUNDET - GANZZAHLIGEN WERTE IM DEFINIERTEN ZIEHUNGSBEREICH</t>
  </si>
  <si>
    <t>ZIEHUNG VON KONTINUIERLICH VERTEILTEN ZUFALLSZAHLEN JE NACH FESTGELEGTER NORMALVERTEILUNG</t>
  </si>
  <si>
    <t>VORGABEN (überschreibbares Beispiel):</t>
  </si>
  <si>
    <t xml:space="preserve">   --&gt;[D26] textlich:  [(yVorgabe -1)/98]*(xmax'Entnahmegrenze-xmin'Entnahmegrenze)+ xmin'Entnahmegrenze]</t>
  </si>
  <si>
    <t>xmin' = Untergrenze, sei das 1%-Quantil des Entnahmebereichs</t>
  </si>
  <si>
    <t>xmax' = Obergrenze, sei das 99%-Quantil des Entnahmebereichs</t>
  </si>
  <si>
    <t>Konst.t A = 0; Hilfswert x0 =</t>
  </si>
  <si>
    <t>Konst.t. A =0; Hilfswert x0 =</t>
  </si>
  <si>
    <t>Vorgaben Urne (x1 - xsresult. - x99)</t>
  </si>
  <si>
    <t>●</t>
  </si>
  <si>
    <t>Vorgaben (x1 - xsresult. - x99)</t>
  </si>
  <si>
    <t>Vorgaben (x1 - x50 - x99)</t>
  </si>
  <si>
    <t>BESCHRIFTUNG</t>
  </si>
  <si>
    <t>FALL A</t>
  </si>
  <si>
    <t>DATUM:</t>
  </si>
  <si>
    <t>FALL B</t>
  </si>
  <si>
    <t>FALL C</t>
  </si>
  <si>
    <t>FALL GV</t>
  </si>
  <si>
    <t>FALL E</t>
  </si>
  <si>
    <t>FALL D</t>
  </si>
  <si>
    <t xml:space="preserve">   https://www.augenwissen.de/untersuchungen/gesichtsfelduntersuchungen/</t>
  </si>
  <si>
    <r>
      <t>Ergänzender Hinweis: Die Exponentialfunktionen für FALL B und FALL C führen bei grosser Wertvorgabe für x99 (od. für x1 und x99)</t>
    </r>
    <r>
      <rPr>
        <b/>
        <sz val="10"/>
        <color theme="0"/>
        <rFont val="Calibri"/>
        <family val="2"/>
      </rPr>
      <t xml:space="preserve"> </t>
    </r>
  </si>
  <si>
    <r>
      <t xml:space="preserve">wegen Unterschreitung von xMIN (Bed: xMIN </t>
    </r>
    <r>
      <rPr>
        <b/>
        <sz val="10"/>
        <color theme="0"/>
        <rFont val="Calibri"/>
        <family val="2"/>
      </rPr>
      <t xml:space="preserve">≥ 1.0) ihrerseits "aus dem Rahmen fällt", ist hier  weiterhin mit den realen Vorgaben für x1 und x99 zu </t>
    </r>
  </si>
  <si>
    <r>
      <t xml:space="preserve">BEDINGUNGEN: xMIN  </t>
    </r>
    <r>
      <rPr>
        <b/>
        <sz val="12"/>
        <color theme="0"/>
        <rFont val="Calibri"/>
        <family val="2"/>
      </rPr>
      <t>≤ xmin' &lt; xmax' ≤</t>
    </r>
    <r>
      <rPr>
        <b/>
        <sz val="12"/>
        <color theme="0"/>
        <rFont val="Calibri"/>
        <family val="2"/>
        <scheme val="minor"/>
      </rPr>
      <t xml:space="preserve"> xMAX; 5 </t>
    </r>
    <r>
      <rPr>
        <b/>
        <sz val="12"/>
        <color theme="0"/>
        <rFont val="Calibri"/>
        <family val="2"/>
      </rPr>
      <t>≤ ZZ ≤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</si>
</sst>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i/>
      <sz val="11"/>
      <color rgb="FFFF0000"/>
      <name val="Calibri"/>
      <family val="2"/>
      <scheme val="minor"/>
    </font>
    <font>
      <b/>
      <sz val="16"/>
      <color rgb="FFFF0000"/>
      <name val="Calibri"/>
      <family val="2"/>
      <scheme val="minor"/>
    </font>
    <font>
      <u/>
      <sz val="11"/>
      <color theme="10"/>
      <name val="Calibri"/>
      <family val="2"/>
      <scheme val="minor"/>
    </font>
    <font>
      <b/>
      <u/>
      <sz val="11"/>
      <color theme="10"/>
      <name val="Calibri"/>
      <family val="2"/>
      <scheme val="minor"/>
    </font>
    <font>
      <b/>
      <sz val="14"/>
      <color rgb="FFFF0000"/>
      <name val="Calibri"/>
      <family val="2"/>
      <scheme val="minor"/>
    </font>
    <font>
      <sz val="11"/>
      <color rgb="FFFF0000"/>
      <name val="Calibri"/>
      <family val="2"/>
      <scheme val="minor"/>
    </font>
    <font>
      <b/>
      <sz val="18"/>
      <color rgb="FFFF0000"/>
      <name val="Calibri"/>
      <family val="2"/>
      <scheme val="minor"/>
    </font>
    <font>
      <b/>
      <sz val="12"/>
      <color rgb="FFFF0000"/>
      <name val="Calibri"/>
      <family val="2"/>
      <scheme val="minor"/>
    </font>
    <font>
      <sz val="11"/>
      <color rgb="FFFF0000"/>
      <name val="Calibri"/>
      <family val="2"/>
    </font>
    <font>
      <b/>
      <sz val="20"/>
      <color rgb="FFFF0000"/>
      <name val="Calibri"/>
      <family val="2"/>
      <scheme val="minor"/>
    </font>
    <font>
      <b/>
      <sz val="20"/>
      <color rgb="FFFF0000"/>
      <name val="Calibri"/>
      <family val="2"/>
    </font>
    <font>
      <sz val="11"/>
      <color theme="1"/>
      <name val="Calibri"/>
      <family val="2"/>
      <scheme val="minor"/>
    </font>
    <font>
      <sz val="20"/>
      <color rgb="FF0070C0"/>
      <name val="Calibri"/>
      <family val="2"/>
    </font>
    <font>
      <sz val="20"/>
      <color rgb="FF00B050"/>
      <name val="Calibri"/>
      <family val="2"/>
    </font>
    <font>
      <sz val="12"/>
      <color rgb="FFFF0000"/>
      <name val="Calibri"/>
      <family val="2"/>
      <scheme val="minor"/>
    </font>
    <font>
      <sz val="18"/>
      <color rgb="FFFF0000"/>
      <name val="Calibri"/>
      <family val="2"/>
      <scheme val="minor"/>
    </font>
    <font>
      <sz val="11"/>
      <color theme="0"/>
      <name val="Calibri"/>
      <family val="2"/>
      <scheme val="minor"/>
    </font>
    <font>
      <b/>
      <u/>
      <sz val="11"/>
      <color rgb="FFFF0000"/>
      <name val="Calibri"/>
      <family val="2"/>
      <scheme val="minor"/>
    </font>
    <font>
      <b/>
      <sz val="14"/>
      <color theme="0"/>
      <name val="Calibri"/>
      <family val="2"/>
      <scheme val="minor"/>
    </font>
    <font>
      <b/>
      <sz val="16"/>
      <color theme="0"/>
      <name val="Calibri"/>
      <family val="2"/>
      <scheme val="minor"/>
    </font>
    <font>
      <b/>
      <sz val="10"/>
      <color theme="0"/>
      <name val="Calibri"/>
      <family val="2"/>
      <scheme val="minor"/>
    </font>
    <font>
      <sz val="10"/>
      <color theme="0"/>
      <name val="Calibri"/>
      <family val="2"/>
      <scheme val="minor"/>
    </font>
    <font>
      <b/>
      <sz val="10"/>
      <color theme="0"/>
      <name val="Calibri"/>
      <family val="2"/>
    </font>
    <font>
      <b/>
      <sz val="12"/>
      <color theme="0"/>
      <name val="Calibri"/>
      <family val="2"/>
      <scheme val="minor"/>
    </font>
    <font>
      <sz val="16"/>
      <color theme="0"/>
      <name val="Calibri"/>
      <family val="2"/>
      <scheme val="minor"/>
    </font>
    <font>
      <b/>
      <sz val="12"/>
      <color theme="0"/>
      <name val="Calibri"/>
      <family val="2"/>
    </font>
    <font>
      <b/>
      <i/>
      <sz val="11"/>
      <color theme="0"/>
      <name val="Calibri"/>
      <family val="2"/>
      <scheme val="minor"/>
    </font>
    <font>
      <b/>
      <i/>
      <u/>
      <sz val="11"/>
      <color theme="0"/>
      <name val="Calibri"/>
      <family val="2"/>
      <scheme val="minor"/>
    </font>
    <font>
      <b/>
      <u/>
      <sz val="11"/>
      <color theme="0"/>
      <name val="Calibri"/>
      <family val="2"/>
      <scheme val="minor"/>
    </font>
    <font>
      <i/>
      <sz val="11"/>
      <color theme="0"/>
      <name val="Calibri"/>
      <family val="2"/>
      <scheme val="minor"/>
    </font>
    <font>
      <b/>
      <sz val="18"/>
      <color theme="0"/>
      <name val="Calibri"/>
      <family val="2"/>
      <scheme val="minor"/>
    </font>
    <font>
      <sz val="18"/>
      <color theme="0"/>
      <name val="Calibri"/>
      <family val="2"/>
      <scheme val="minor"/>
    </font>
    <font>
      <u/>
      <sz val="11"/>
      <color theme="0"/>
      <name val="Calibri"/>
      <family val="2"/>
      <scheme val="minor"/>
    </font>
    <font>
      <sz val="11"/>
      <color theme="0"/>
      <name val="Calibri"/>
      <family val="2"/>
    </font>
    <font>
      <sz val="16"/>
      <color rgb="FF00B050"/>
      <name val="Calibri"/>
      <family val="2"/>
      <scheme val="minor"/>
    </font>
    <font>
      <sz val="16"/>
      <color rgb="FFFF0000"/>
      <name val="Calibri"/>
      <family val="2"/>
      <scheme val="minor"/>
    </font>
    <font>
      <sz val="16"/>
      <color rgb="FF0070C0"/>
      <name val="Calibri"/>
      <family val="2"/>
      <scheme val="minor"/>
    </font>
    <font>
      <sz val="16"/>
      <color rgb="FF00B050"/>
      <name val="Calibri"/>
      <family val="2"/>
    </font>
    <font>
      <sz val="16"/>
      <color rgb="FF0070C0"/>
      <name val="Calibri"/>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0DAE0"/>
        <bgColor indexed="64"/>
      </patternFill>
    </fill>
    <fill>
      <patternFill patternType="solid">
        <fgColor theme="0" tint="-0.14999847407452621"/>
        <bgColor indexed="64"/>
      </patternFill>
    </fill>
    <fill>
      <patternFill patternType="solid">
        <fgColor rgb="FFFFFF66"/>
        <bgColor indexed="64"/>
      </patternFill>
    </fill>
    <fill>
      <patternFill patternType="solid">
        <fgColor theme="7" tint="0.59999389629810485"/>
        <bgColor indexed="64"/>
      </patternFill>
    </fill>
    <fill>
      <patternFill patternType="solid">
        <fgColor rgb="FFFFCC00"/>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9" fontId="15" fillId="0" borderId="0" applyFont="0" applyFill="0" applyBorder="0" applyAlignment="0" applyProtection="0"/>
  </cellStyleXfs>
  <cellXfs count="173">
    <xf numFmtId="0" fontId="0" fillId="0" borderId="0" xfId="0"/>
    <xf numFmtId="0" fontId="3" fillId="0" borderId="0" xfId="0" applyFont="1" applyAlignment="1">
      <alignment horizontal="center"/>
    </xf>
    <xf numFmtId="0" fontId="14" fillId="7" borderId="12" xfId="0" applyFont="1" applyFill="1" applyBorder="1" applyAlignment="1" applyProtection="1">
      <alignment horizontal="center"/>
      <protection hidden="1"/>
    </xf>
    <xf numFmtId="0" fontId="17" fillId="7" borderId="12" xfId="0" applyFont="1" applyFill="1" applyBorder="1" applyAlignment="1" applyProtection="1">
      <alignment horizontal="center"/>
      <protection hidden="1"/>
    </xf>
    <xf numFmtId="0" fontId="16" fillId="7" borderId="12" xfId="0" applyFont="1" applyFill="1" applyBorder="1" applyAlignment="1" applyProtection="1">
      <alignment horizontal="center"/>
      <protection hidden="1"/>
    </xf>
    <xf numFmtId="0" fontId="17" fillId="7" borderId="12" xfId="2" applyNumberFormat="1" applyFont="1" applyFill="1" applyBorder="1" applyAlignment="1" applyProtection="1">
      <alignment horizontal="center"/>
      <protection hidden="1"/>
    </xf>
    <xf numFmtId="0" fontId="9" fillId="0" borderId="3" xfId="0" applyFont="1" applyBorder="1" applyProtection="1">
      <protection hidden="1"/>
    </xf>
    <xf numFmtId="0" fontId="9" fillId="0" borderId="4" xfId="0" applyFont="1" applyBorder="1" applyProtection="1">
      <protection hidden="1"/>
    </xf>
    <xf numFmtId="0" fontId="9" fillId="0" borderId="5" xfId="0" applyFont="1" applyBorder="1" applyProtection="1">
      <protection hidden="1"/>
    </xf>
    <xf numFmtId="0" fontId="9" fillId="0" borderId="0" xfId="0" applyFont="1" applyProtection="1">
      <protection hidden="1"/>
    </xf>
    <xf numFmtId="0" fontId="2" fillId="0" borderId="6" xfId="0" applyFont="1" applyBorder="1" applyAlignment="1" applyProtection="1">
      <alignment horizontal="left"/>
      <protection hidden="1"/>
    </xf>
    <xf numFmtId="0" fontId="9" fillId="0" borderId="0" xfId="0" applyFont="1" applyAlignment="1" applyProtection="1">
      <alignment horizontal="center"/>
      <protection hidden="1"/>
    </xf>
    <xf numFmtId="0" fontId="2" fillId="4" borderId="0" xfId="0" applyFont="1" applyFill="1" applyAlignment="1" applyProtection="1">
      <alignment horizontal="center"/>
      <protection hidden="1"/>
    </xf>
    <xf numFmtId="0" fontId="2" fillId="0" borderId="0" xfId="0" applyFont="1" applyAlignment="1" applyProtection="1">
      <alignment horizontal="center"/>
      <protection hidden="1"/>
    </xf>
    <xf numFmtId="0" fontId="9" fillId="4" borderId="0" xfId="0" applyFont="1" applyFill="1" applyAlignment="1" applyProtection="1">
      <alignment horizontal="center"/>
      <protection hidden="1"/>
    </xf>
    <xf numFmtId="0" fontId="9" fillId="4" borderId="7" xfId="0" applyFont="1" applyFill="1" applyBorder="1" applyAlignment="1" applyProtection="1">
      <alignment horizontal="center"/>
      <protection hidden="1"/>
    </xf>
    <xf numFmtId="0" fontId="8" fillId="8" borderId="6" xfId="0" applyFont="1" applyFill="1" applyBorder="1" applyAlignment="1" applyProtection="1">
      <alignment horizontal="left"/>
      <protection hidden="1"/>
    </xf>
    <xf numFmtId="0" fontId="8" fillId="8" borderId="0" xfId="0" applyFont="1" applyFill="1" applyAlignment="1" applyProtection="1">
      <alignment horizontal="left"/>
      <protection hidden="1"/>
    </xf>
    <xf numFmtId="0" fontId="8" fillId="9" borderId="0" xfId="0" applyFont="1" applyFill="1" applyAlignment="1" applyProtection="1">
      <alignment horizontal="left"/>
      <protection hidden="1"/>
    </xf>
    <xf numFmtId="0" fontId="9" fillId="0" borderId="6" xfId="0" applyFont="1" applyBorder="1" applyAlignment="1" applyProtection="1">
      <alignment horizontal="center"/>
      <protection hidden="1"/>
    </xf>
    <xf numFmtId="0" fontId="9" fillId="0" borderId="7" xfId="0" applyFont="1" applyBorder="1" applyProtection="1">
      <protection hidden="1"/>
    </xf>
    <xf numFmtId="0" fontId="9" fillId="6" borderId="12" xfId="0" applyFont="1" applyFill="1" applyBorder="1" applyAlignment="1" applyProtection="1">
      <alignment horizontal="center"/>
      <protection hidden="1"/>
    </xf>
    <xf numFmtId="0" fontId="11" fillId="5" borderId="12" xfId="0" applyFont="1" applyFill="1" applyBorder="1" applyAlignment="1" applyProtection="1">
      <alignment horizontal="left"/>
      <protection hidden="1"/>
    </xf>
    <xf numFmtId="0" fontId="11" fillId="5" borderId="12" xfId="0" applyFont="1" applyFill="1" applyBorder="1" applyAlignment="1" applyProtection="1">
      <alignment horizontal="center"/>
      <protection hidden="1"/>
    </xf>
    <xf numFmtId="0" fontId="11" fillId="5" borderId="12" xfId="0" applyFont="1" applyFill="1" applyBorder="1" applyAlignment="1" applyProtection="1">
      <alignment horizontal="right"/>
      <protection hidden="1"/>
    </xf>
    <xf numFmtId="0" fontId="9" fillId="0" borderId="6" xfId="0" applyFont="1" applyBorder="1" applyProtection="1">
      <protection hidden="1"/>
    </xf>
    <xf numFmtId="0" fontId="2" fillId="4" borderId="7" xfId="0" applyFont="1" applyFill="1" applyBorder="1" applyAlignment="1" applyProtection="1">
      <alignment horizontal="center"/>
      <protection hidden="1"/>
    </xf>
    <xf numFmtId="0" fontId="12" fillId="0" borderId="7"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0" xfId="0" applyFont="1" applyFill="1" applyAlignment="1" applyProtection="1">
      <alignment horizontal="left"/>
      <protection hidden="1"/>
    </xf>
    <xf numFmtId="0" fontId="2" fillId="0" borderId="6"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18" fillId="5" borderId="0" xfId="0" applyFont="1" applyFill="1" applyAlignment="1" applyProtection="1">
      <alignment horizontal="center"/>
      <protection hidden="1"/>
    </xf>
    <xf numFmtId="0" fontId="9" fillId="0" borderId="1" xfId="0" applyFont="1" applyBorder="1" applyAlignment="1" applyProtection="1">
      <alignment horizontal="center"/>
      <protection hidden="1"/>
    </xf>
    <xf numFmtId="0" fontId="2" fillId="0" borderId="1" xfId="0" applyFont="1" applyBorder="1" applyAlignment="1" applyProtection="1">
      <alignment horizontal="left"/>
      <protection hidden="1"/>
    </xf>
    <xf numFmtId="0" fontId="2" fillId="4" borderId="1" xfId="0"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left"/>
      <protection hidden="1"/>
    </xf>
    <xf numFmtId="0" fontId="2" fillId="3" borderId="1" xfId="0" applyFont="1" applyFill="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0" xfId="0" applyFont="1" applyAlignment="1" applyProtection="1">
      <alignment horizontal="left"/>
      <protection hidden="1"/>
    </xf>
    <xf numFmtId="0" fontId="9" fillId="0" borderId="0" xfId="0" applyFont="1" applyAlignment="1" applyProtection="1">
      <alignment horizontal="center" wrapText="1"/>
      <protection hidden="1"/>
    </xf>
    <xf numFmtId="0" fontId="9" fillId="0" borderId="0" xfId="0" applyFont="1" applyAlignment="1" applyProtection="1">
      <alignment horizontal="left"/>
      <protection hidden="1"/>
    </xf>
    <xf numFmtId="0" fontId="9" fillId="0" borderId="0" xfId="0" applyFont="1" applyAlignment="1" applyProtection="1">
      <alignment horizontal="right"/>
      <protection hidden="1"/>
    </xf>
    <xf numFmtId="2" fontId="9" fillId="0" borderId="0" xfId="0" applyNumberFormat="1" applyFont="1" applyProtection="1">
      <protection hidden="1"/>
    </xf>
    <xf numFmtId="0" fontId="5" fillId="0" borderId="0" xfId="0" applyFont="1" applyAlignment="1" applyProtection="1">
      <alignment horizontal="center"/>
      <protection hidden="1"/>
    </xf>
    <xf numFmtId="0" fontId="12" fillId="0" borderId="0" xfId="0" applyFont="1" applyAlignment="1" applyProtection="1">
      <alignment horizontal="center"/>
      <protection hidden="1"/>
    </xf>
    <xf numFmtId="0" fontId="9" fillId="5" borderId="0" xfId="0" applyFont="1" applyFill="1" applyAlignment="1" applyProtection="1">
      <alignment horizontal="center"/>
      <protection hidden="1"/>
    </xf>
    <xf numFmtId="0" fontId="2" fillId="0" borderId="0" xfId="0" applyFont="1" applyProtection="1">
      <protection hidden="1"/>
    </xf>
    <xf numFmtId="0" fontId="9" fillId="0" borderId="0" xfId="0" applyFont="1" applyAlignment="1" applyProtection="1">
      <alignment horizontal="center" vertical="top"/>
      <protection hidden="1"/>
    </xf>
    <xf numFmtId="0" fontId="9" fillId="5" borderId="0" xfId="0" applyFont="1" applyFill="1" applyAlignment="1" applyProtection="1">
      <alignment horizontal="center" vertical="top"/>
      <protection hidden="1"/>
    </xf>
    <xf numFmtId="0" fontId="2" fillId="0" borderId="0" xfId="0" applyFont="1" applyAlignment="1" applyProtection="1">
      <alignment horizontal="center" vertical="top"/>
      <protection hidden="1"/>
    </xf>
    <xf numFmtId="0" fontId="2" fillId="2" borderId="1" xfId="0" applyFont="1" applyFill="1" applyBorder="1" applyAlignment="1" applyProtection="1">
      <alignment horizontal="center"/>
      <protection hidden="1"/>
    </xf>
    <xf numFmtId="0" fontId="2" fillId="0" borderId="11" xfId="0" applyFont="1" applyBorder="1" applyAlignment="1" applyProtection="1">
      <alignment horizontal="left"/>
      <protection hidden="1"/>
    </xf>
    <xf numFmtId="0" fontId="2" fillId="3" borderId="11" xfId="0" applyFont="1" applyFill="1" applyBorder="1" applyAlignment="1" applyProtection="1">
      <alignment horizontal="center"/>
      <protection hidden="1"/>
    </xf>
    <xf numFmtId="0" fontId="2" fillId="0" borderId="11" xfId="0" applyFont="1" applyBorder="1" applyAlignment="1" applyProtection="1">
      <alignment horizontal="center"/>
      <protection hidden="1"/>
    </xf>
    <xf numFmtId="0" fontId="2" fillId="4" borderId="11" xfId="0" applyFont="1" applyFill="1" applyBorder="1" applyAlignment="1" applyProtection="1">
      <alignment horizontal="center"/>
      <protection hidden="1"/>
    </xf>
    <xf numFmtId="0" fontId="9" fillId="0" borderId="4" xfId="0" applyFont="1" applyBorder="1" applyAlignment="1" applyProtection="1">
      <alignment horizontal="center"/>
      <protection hidden="1"/>
    </xf>
    <xf numFmtId="0" fontId="10" fillId="0" borderId="0" xfId="0" applyFont="1" applyAlignment="1" applyProtection="1">
      <alignment horizontal="center"/>
      <protection hidden="1"/>
    </xf>
    <xf numFmtId="0" fontId="13" fillId="0" borderId="0" xfId="0" applyFont="1" applyProtection="1">
      <protection hidden="1"/>
    </xf>
    <xf numFmtId="0" fontId="11" fillId="5" borderId="12" xfId="0" applyFont="1" applyFill="1" applyBorder="1" applyProtection="1">
      <protection hidden="1"/>
    </xf>
    <xf numFmtId="0" fontId="4"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8" borderId="0" xfId="0" applyFont="1" applyFill="1" applyAlignment="1" applyProtection="1">
      <alignment horizontal="center"/>
      <protection hidden="1"/>
    </xf>
    <xf numFmtId="0" fontId="8" fillId="4" borderId="0" xfId="0" applyFont="1" applyFill="1" applyAlignment="1" applyProtection="1">
      <alignment horizontal="center"/>
      <protection hidden="1"/>
    </xf>
    <xf numFmtId="0" fontId="4" fillId="0" borderId="0" xfId="0" applyFont="1" applyProtection="1">
      <protection hidden="1"/>
    </xf>
    <xf numFmtId="0" fontId="9" fillId="2" borderId="0" xfId="0" applyFont="1" applyFill="1" applyProtection="1">
      <protection hidden="1"/>
    </xf>
    <xf numFmtId="0" fontId="8" fillId="0" borderId="6" xfId="0" applyFont="1" applyBorder="1" applyAlignment="1" applyProtection="1">
      <alignment horizontal="center"/>
      <protection hidden="1"/>
    </xf>
    <xf numFmtId="0" fontId="22" fillId="0" borderId="0" xfId="0" applyFont="1"/>
    <xf numFmtId="0" fontId="23" fillId="0" borderId="0" xfId="0" applyFont="1"/>
    <xf numFmtId="0" fontId="3" fillId="0" borderId="0" xfId="0" applyFont="1"/>
    <xf numFmtId="0" fontId="20" fillId="0" borderId="0" xfId="0" applyFont="1"/>
    <xf numFmtId="0" fontId="20" fillId="0" borderId="0" xfId="0" applyFont="1" applyAlignment="1">
      <alignment horizontal="right"/>
    </xf>
    <xf numFmtId="0" fontId="3" fillId="0" borderId="0" xfId="0" applyFont="1" applyAlignment="1">
      <alignment horizontal="left"/>
    </xf>
    <xf numFmtId="0" fontId="24" fillId="0" borderId="0" xfId="0" applyFont="1"/>
    <xf numFmtId="0" fontId="24" fillId="0" borderId="0" xfId="0" applyFont="1" applyAlignment="1">
      <alignment horizontal="center"/>
    </xf>
    <xf numFmtId="0" fontId="20" fillId="0" borderId="0" xfId="0" applyFont="1" applyAlignment="1">
      <alignment horizontal="center"/>
    </xf>
    <xf numFmtId="0" fontId="24" fillId="0" borderId="0" xfId="0" applyFont="1" applyAlignment="1">
      <alignment horizontal="left"/>
    </xf>
    <xf numFmtId="0" fontId="25" fillId="0" borderId="0" xfId="0" applyFont="1" applyAlignment="1">
      <alignment horizontal="center"/>
    </xf>
    <xf numFmtId="0" fontId="30" fillId="0" borderId="0" xfId="0" applyFont="1"/>
    <xf numFmtId="0" fontId="30" fillId="0" borderId="0" xfId="0" applyFont="1" applyAlignment="1">
      <alignment horizontal="center"/>
    </xf>
    <xf numFmtId="0" fontId="31" fillId="0" borderId="0" xfId="1" applyFont="1" applyAlignment="1">
      <alignment horizontal="left"/>
    </xf>
    <xf numFmtId="0" fontId="32" fillId="0" borderId="0" xfId="1" applyFont="1" applyAlignment="1">
      <alignment horizontal="center"/>
    </xf>
    <xf numFmtId="0" fontId="31" fillId="0" borderId="0" xfId="1" applyFont="1" applyAlignment="1">
      <alignment horizontal="center"/>
    </xf>
    <xf numFmtId="0" fontId="33" fillId="0" borderId="0" xfId="0" applyFont="1" applyAlignment="1">
      <alignment horizontal="center"/>
    </xf>
    <xf numFmtId="0" fontId="20" fillId="0" borderId="0" xfId="0" applyFont="1" applyAlignment="1">
      <alignment horizontal="left"/>
    </xf>
    <xf numFmtId="0" fontId="34" fillId="0" borderId="0" xfId="0" applyFont="1"/>
    <xf numFmtId="0" fontId="35" fillId="0" borderId="0" xfId="0" applyFont="1"/>
    <xf numFmtId="0" fontId="36" fillId="0" borderId="0" xfId="1" applyFont="1"/>
    <xf numFmtId="0" fontId="25" fillId="0" borderId="0" xfId="0" applyFont="1"/>
    <xf numFmtId="0" fontId="27" fillId="0" borderId="0" xfId="0" applyFont="1" applyAlignment="1">
      <alignment horizontal="left"/>
    </xf>
    <xf numFmtId="0" fontId="28" fillId="0" borderId="0" xfId="0" applyFont="1" applyAlignment="1">
      <alignment horizontal="center"/>
    </xf>
    <xf numFmtId="0" fontId="27" fillId="0" borderId="0" xfId="0" applyFont="1" applyAlignment="1">
      <alignment horizontal="center"/>
    </xf>
    <xf numFmtId="0" fontId="27" fillId="0" borderId="0" xfId="0" applyFont="1"/>
    <xf numFmtId="0" fontId="1" fillId="2" borderId="0" xfId="0" applyFont="1" applyFill="1"/>
    <xf numFmtId="0" fontId="21" fillId="2" borderId="0" xfId="1" applyFont="1" applyFill="1"/>
    <xf numFmtId="0" fontId="7" fillId="2" borderId="0" xfId="1" applyFont="1" applyFill="1"/>
    <xf numFmtId="0" fontId="20" fillId="0" borderId="0" xfId="0" applyFont="1" applyProtection="1">
      <protection hidden="1"/>
    </xf>
    <xf numFmtId="0" fontId="22" fillId="0" borderId="0" xfId="0" applyFont="1" applyAlignment="1" applyProtection="1">
      <alignment horizontal="center"/>
      <protection hidden="1"/>
    </xf>
    <xf numFmtId="0" fontId="3" fillId="0" borderId="0" xfId="0" applyFont="1" applyProtection="1">
      <protection hidden="1"/>
    </xf>
    <xf numFmtId="0" fontId="3" fillId="0" borderId="0" xfId="0" applyFont="1" applyAlignment="1" applyProtection="1">
      <alignment horizontal="center"/>
      <protection hidden="1"/>
    </xf>
    <xf numFmtId="0" fontId="20" fillId="0" borderId="0" xfId="0" applyFont="1" applyAlignment="1" applyProtection="1">
      <alignment horizontal="center"/>
      <protection hidden="1"/>
    </xf>
    <xf numFmtId="0" fontId="11" fillId="5" borderId="13" xfId="0" applyFont="1" applyFill="1" applyBorder="1" applyAlignment="1" applyProtection="1">
      <alignment horizontal="center"/>
      <protection hidden="1"/>
    </xf>
    <xf numFmtId="0" fontId="3" fillId="0" borderId="0" xfId="0" applyFont="1" applyAlignment="1" applyProtection="1">
      <alignment horizontal="left"/>
      <protection hidden="1"/>
    </xf>
    <xf numFmtId="0" fontId="37" fillId="0" borderId="0" xfId="0" applyFont="1" applyAlignment="1" applyProtection="1">
      <alignment horizontal="center"/>
      <protection hidden="1"/>
    </xf>
    <xf numFmtId="0" fontId="14" fillId="7" borderId="13" xfId="0" applyFont="1" applyFill="1" applyBorder="1" applyAlignment="1" applyProtection="1">
      <alignment horizontal="center"/>
      <protection hidden="1"/>
    </xf>
    <xf numFmtId="0" fontId="20" fillId="0" borderId="0" xfId="0" applyFont="1" applyAlignment="1" applyProtection="1">
      <alignment horizontal="left"/>
      <protection hidden="1"/>
    </xf>
    <xf numFmtId="0" fontId="20" fillId="0" borderId="0" xfId="0" applyFont="1" applyAlignment="1" applyProtection="1">
      <alignment horizontal="right"/>
      <protection hidden="1"/>
    </xf>
    <xf numFmtId="2" fontId="20" fillId="0" borderId="0" xfId="0" applyNumberFormat="1" applyFont="1" applyProtection="1">
      <protection hidden="1"/>
    </xf>
    <xf numFmtId="0" fontId="23" fillId="0" borderId="0" xfId="0" applyFont="1" applyAlignment="1" applyProtection="1">
      <alignment horizontal="center"/>
      <protection hidden="1"/>
    </xf>
    <xf numFmtId="0" fontId="20" fillId="6" borderId="12" xfId="0" applyFont="1" applyFill="1" applyBorder="1" applyAlignment="1" applyProtection="1">
      <alignment horizontal="center"/>
      <protection hidden="1"/>
    </xf>
    <xf numFmtId="0" fontId="11" fillId="5" borderId="0" xfId="0" applyFont="1" applyFill="1" applyAlignment="1" applyProtection="1">
      <alignment horizontal="center"/>
      <protection hidden="1"/>
    </xf>
    <xf numFmtId="0" fontId="2" fillId="5" borderId="12" xfId="0" applyFont="1" applyFill="1" applyBorder="1" applyAlignment="1">
      <alignment horizontal="left"/>
    </xf>
    <xf numFmtId="0" fontId="2" fillId="5" borderId="12" xfId="0" applyFont="1" applyFill="1" applyBorder="1" applyAlignment="1">
      <alignment horizontal="right"/>
    </xf>
    <xf numFmtId="0" fontId="2" fillId="5" borderId="12" xfId="0" applyFont="1" applyFill="1" applyBorder="1" applyAlignment="1">
      <alignment horizontal="center"/>
    </xf>
    <xf numFmtId="0" fontId="2" fillId="8" borderId="12" xfId="0" applyFont="1" applyFill="1" applyBorder="1"/>
    <xf numFmtId="0" fontId="2" fillId="4" borderId="12" xfId="0" applyFont="1" applyFill="1" applyBorder="1" applyAlignment="1">
      <alignment horizontal="center"/>
    </xf>
    <xf numFmtId="0" fontId="2" fillId="8" borderId="12" xfId="0" applyFont="1" applyFill="1" applyBorder="1" applyAlignment="1">
      <alignment horizontal="left"/>
    </xf>
    <xf numFmtId="0" fontId="0" fillId="6" borderId="12" xfId="0" applyFill="1" applyBorder="1" applyAlignment="1">
      <alignment horizontal="center"/>
    </xf>
    <xf numFmtId="0" fontId="38" fillId="7" borderId="12" xfId="0" applyFont="1" applyFill="1" applyBorder="1" applyAlignment="1">
      <alignment horizontal="center"/>
    </xf>
    <xf numFmtId="0" fontId="39" fillId="7" borderId="12" xfId="0" applyFont="1" applyFill="1" applyBorder="1" applyAlignment="1">
      <alignment horizontal="center"/>
    </xf>
    <xf numFmtId="0" fontId="40" fillId="7" borderId="12" xfId="0" applyFont="1" applyFill="1" applyBorder="1" applyAlignment="1">
      <alignment horizontal="center"/>
    </xf>
    <xf numFmtId="0" fontId="9" fillId="0" borderId="0" xfId="0" applyFont="1"/>
    <xf numFmtId="0" fontId="2" fillId="8" borderId="0" xfId="0" applyFont="1" applyFill="1"/>
    <xf numFmtId="0" fontId="2" fillId="4" borderId="0" xfId="0" applyFont="1" applyFill="1"/>
    <xf numFmtId="0" fontId="41" fillId="7" borderId="12" xfId="0" applyFont="1" applyFill="1" applyBorder="1" applyAlignment="1">
      <alignment horizontal="center"/>
    </xf>
    <xf numFmtId="0" fontId="2" fillId="9" borderId="0" xfId="0" applyFont="1" applyFill="1" applyAlignment="1">
      <alignment horizontal="center"/>
    </xf>
    <xf numFmtId="0" fontId="2" fillId="9" borderId="12" xfId="0" applyFont="1" applyFill="1" applyBorder="1" applyAlignment="1">
      <alignment horizontal="center"/>
    </xf>
    <xf numFmtId="0" fontId="38" fillId="3" borderId="12" xfId="0" applyFont="1" applyFill="1" applyBorder="1" applyAlignment="1">
      <alignment horizontal="center"/>
    </xf>
    <xf numFmtId="0" fontId="40" fillId="3" borderId="12" xfId="0" applyFont="1" applyFill="1" applyBorder="1" applyAlignment="1">
      <alignment horizontal="center"/>
    </xf>
    <xf numFmtId="0" fontId="5" fillId="3" borderId="12" xfId="0" applyFont="1" applyFill="1" applyBorder="1" applyAlignment="1">
      <alignment horizontal="center"/>
    </xf>
    <xf numFmtId="0" fontId="2" fillId="8" borderId="14" xfId="0" applyFont="1" applyFill="1" applyBorder="1"/>
    <xf numFmtId="0" fontId="2" fillId="8" borderId="15" xfId="0" applyFont="1" applyFill="1" applyBorder="1"/>
    <xf numFmtId="0" fontId="2" fillId="4" borderId="15" xfId="0" applyFont="1" applyFill="1" applyBorder="1" applyAlignment="1">
      <alignment horizontal="center"/>
    </xf>
    <xf numFmtId="0" fontId="2" fillId="8" borderId="13" xfId="0" applyFont="1" applyFill="1" applyBorder="1"/>
    <xf numFmtId="0" fontId="0" fillId="6" borderId="12" xfId="0" applyFill="1" applyBorder="1"/>
    <xf numFmtId="0" fontId="41" fillId="3" borderId="12" xfId="0" applyFont="1" applyFill="1" applyBorder="1" applyAlignment="1">
      <alignment horizontal="center"/>
    </xf>
    <xf numFmtId="0" fontId="39" fillId="3" borderId="12" xfId="0" applyFont="1" applyFill="1" applyBorder="1" applyAlignment="1">
      <alignment horizontal="center"/>
    </xf>
    <xf numFmtId="0" fontId="42" fillId="3" borderId="12" xfId="0" applyFont="1" applyFill="1" applyBorder="1" applyAlignment="1">
      <alignment horizontal="center"/>
    </xf>
    <xf numFmtId="0" fontId="0" fillId="6" borderId="12" xfId="2" applyNumberFormat="1" applyFont="1" applyFill="1" applyBorder="1"/>
    <xf numFmtId="0" fontId="12" fillId="0" borderId="0" xfId="0" applyFont="1" applyAlignment="1" applyProtection="1">
      <alignment horizontal="left"/>
      <protection hidden="1"/>
    </xf>
    <xf numFmtId="0" fontId="20" fillId="0" borderId="0" xfId="0" applyFont="1"/>
    <xf numFmtId="0" fontId="20" fillId="0" borderId="0" xfId="0" applyFont="1" applyAlignment="1">
      <alignment horizontal="center"/>
    </xf>
    <xf numFmtId="0" fontId="3" fillId="0" borderId="0" xfId="0" applyFont="1" applyAlignment="1" applyProtection="1">
      <alignment horizontal="center"/>
      <protection hidden="1"/>
    </xf>
    <xf numFmtId="0" fontId="20"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Protection="1">
      <protection hidden="1"/>
    </xf>
    <xf numFmtId="0" fontId="22" fillId="0" borderId="0" xfId="0" applyFont="1" applyAlignment="1" applyProtection="1">
      <alignment horizontal="center"/>
      <protection hidden="1"/>
    </xf>
    <xf numFmtId="0" fontId="34" fillId="0" borderId="0" xfId="0" applyFont="1" applyAlignment="1" applyProtection="1">
      <alignment horizontal="center"/>
      <protection hidden="1"/>
    </xf>
    <xf numFmtId="0" fontId="2" fillId="4" borderId="6" xfId="0" applyFont="1" applyFill="1" applyBorder="1" applyAlignment="1" applyProtection="1">
      <alignment horizontal="left"/>
      <protection hidden="1"/>
    </xf>
    <xf numFmtId="0" fontId="9" fillId="4" borderId="0" xfId="0" applyFont="1" applyFill="1" applyProtection="1">
      <protection hidden="1"/>
    </xf>
    <xf numFmtId="0" fontId="2" fillId="4" borderId="0" xfId="0" applyFont="1" applyFill="1" applyAlignment="1" applyProtection="1">
      <alignment horizontal="center"/>
      <protection hidden="1"/>
    </xf>
    <xf numFmtId="0" fontId="2" fillId="4" borderId="0" xfId="0" applyFont="1" applyFill="1" applyAlignment="1" applyProtection="1">
      <alignment horizontal="left"/>
      <protection hidden="1"/>
    </xf>
    <xf numFmtId="0" fontId="2" fillId="4" borderId="7" xfId="0" applyFont="1" applyFill="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0" xfId="0" applyFont="1" applyAlignment="1" applyProtection="1">
      <alignment horizontal="left"/>
      <protection hidden="1"/>
    </xf>
    <xf numFmtId="0" fontId="8" fillId="0" borderId="6"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9" fillId="0" borderId="4"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10" fillId="4"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9" fillId="0" borderId="0" xfId="0" applyFont="1" applyAlignment="1" applyProtection="1">
      <alignment horizontal="center"/>
      <protection hidden="1"/>
    </xf>
    <xf numFmtId="0" fontId="19" fillId="0" borderId="7" xfId="0" applyFont="1" applyBorder="1" applyAlignment="1" applyProtection="1">
      <alignment horizontal="center"/>
      <protection hidden="1"/>
    </xf>
    <xf numFmtId="0" fontId="2" fillId="0" borderId="0" xfId="0" applyFont="1" applyAlignment="1" applyProtection="1">
      <alignment horizontal="center"/>
      <protection hidden="1"/>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7" xfId="0" applyFont="1" applyBorder="1" applyAlignment="1" applyProtection="1">
      <alignment horizontal="center"/>
      <protection hidden="1"/>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0DAE0"/>
      <color rgb="FFFFCC00"/>
      <color rgb="FFFFFF66"/>
      <color rgb="FFFF99FF"/>
      <color rgb="FF99FF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solidFill>
                  <a:srgbClr val="FF0000"/>
                </a:solidFill>
              </a:rPr>
              <a:t>FALL</a:t>
            </a:r>
            <a:r>
              <a:rPr lang="de-CH" baseline="0">
                <a:solidFill>
                  <a:srgbClr val="FF0000"/>
                </a:solidFill>
              </a:rPr>
              <a:t> B: Y [%] = {e^[-A*e^(B*x)]}*100</a:t>
            </a:r>
            <a:endParaRPr lang="de-CH">
              <a:solidFill>
                <a:srgbClr val="FF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3822552801705157"/>
          <c:y val="0.13380230880230881"/>
          <c:w val="0.7472718385034085"/>
          <c:h val="0.61563753394462051"/>
        </c:manualLayout>
      </c:layout>
      <c:scatterChart>
        <c:scatterStyle val="smoothMarker"/>
        <c:varyColors val="0"/>
        <c:ser>
          <c:idx val="0"/>
          <c:order val="0"/>
          <c:tx>
            <c:v>Summenhäufigkeitsverteilung in der Urne</c:v>
          </c:tx>
          <c:spPr>
            <a:ln w="19050" cap="rnd">
              <a:solidFill>
                <a:srgbClr val="FF0000"/>
              </a:solidFill>
              <a:prstDash val="solid"/>
              <a:round/>
            </a:ln>
            <a:effectLst/>
          </c:spPr>
          <c:marker>
            <c:symbol val="none"/>
          </c:marker>
          <c:xVal>
            <c:numRef>
              <c:f>'FALL 2'!$C$45:$C$69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2'!$D$45:$D$69</c:f>
              <c:numCache>
                <c:formatCode>General</c:formatCode>
                <c:ptCount val="25"/>
                <c:pt idx="0">
                  <c:v>1.0053521858188716</c:v>
                </c:pt>
                <c:pt idx="1">
                  <c:v>3.3836856891381446</c:v>
                </c:pt>
                <c:pt idx="2">
                  <c:v>8.2679582968775449</c:v>
                </c:pt>
                <c:pt idx="3">
                  <c:v>15.960032601657062</c:v>
                </c:pt>
                <c:pt idx="4">
                  <c:v>25.900414305432136</c:v>
                </c:pt>
                <c:pt idx="5">
                  <c:v>36.991409140602258</c:v>
                </c:pt>
                <c:pt idx="6">
                  <c:v>48.089900873080389</c:v>
                </c:pt>
                <c:pt idx="7">
                  <c:v>58.336629235524981</c:v>
                </c:pt>
                <c:pt idx="8">
                  <c:v>67.250539437111314</c:v>
                </c:pt>
                <c:pt idx="9">
                  <c:v>74.6718335548086</c:v>
                </c:pt>
                <c:pt idx="10">
                  <c:v>80.653522368683099</c:v>
                </c:pt>
                <c:pt idx="11">
                  <c:v>85.361098932460038</c:v>
                </c:pt>
                <c:pt idx="12">
                  <c:v>89.001326138061316</c:v>
                </c:pt>
                <c:pt idx="13">
                  <c:v>91.779946021010545</c:v>
                </c:pt>
                <c:pt idx="14">
                  <c:v>93.880735389786651</c:v>
                </c:pt>
                <c:pt idx="15">
                  <c:v>95.457916421050072</c:v>
                </c:pt>
                <c:pt idx="16">
                  <c:v>96.635878762002207</c:v>
                </c:pt>
                <c:pt idx="17">
                  <c:v>97.512324720343528</c:v>
                </c:pt>
                <c:pt idx="18">
                  <c:v>98.162603383194963</c:v>
                </c:pt>
                <c:pt idx="19">
                  <c:v>98.644080999303029</c:v>
                </c:pt>
                <c:pt idx="20">
                  <c:v>99.000033249502223</c:v>
                </c:pt>
              </c:numCache>
            </c:numRef>
          </c:yVal>
          <c:smooth val="1"/>
          <c:extLst>
            <c:ext xmlns:c16="http://schemas.microsoft.com/office/drawing/2014/chart" uri="{C3380CC4-5D6E-409C-BE32-E72D297353CC}">
              <c16:uniqueId val="{00000000-62DA-4218-82D7-218D3BEAA74B}"/>
            </c:ext>
          </c:extLst>
        </c:ser>
        <c:ser>
          <c:idx val="3"/>
          <c:order val="2"/>
          <c:tx>
            <c:v>untere Entnahmegrenze</c:v>
          </c:tx>
          <c:spPr>
            <a:ln w="19050" cap="rnd">
              <a:solidFill>
                <a:srgbClr val="0070C0"/>
              </a:solidFill>
              <a:round/>
            </a:ln>
            <a:effectLst/>
          </c:spPr>
          <c:marker>
            <c:symbol val="none"/>
          </c:marker>
          <c:xVal>
            <c:numRef>
              <c:f>'FALL 2'!$C$45:$C$69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2'!$G$45:$G$69</c:f>
              <c:numCache>
                <c:formatCode>General</c:formatCode>
                <c:ptCount val="25"/>
                <c:pt idx="21">
                  <c:v>0</c:v>
                </c:pt>
                <c:pt idx="22">
                  <c:v>99</c:v>
                </c:pt>
              </c:numCache>
            </c:numRef>
          </c:yVal>
          <c:smooth val="1"/>
          <c:extLst>
            <c:ext xmlns:c16="http://schemas.microsoft.com/office/drawing/2014/chart" uri="{C3380CC4-5D6E-409C-BE32-E72D297353CC}">
              <c16:uniqueId val="{00000003-62DA-4218-82D7-218D3BEAA74B}"/>
            </c:ext>
          </c:extLst>
        </c:ser>
        <c:ser>
          <c:idx val="4"/>
          <c:order val="3"/>
          <c:tx>
            <c:v>obere Entnahmegrenze</c:v>
          </c:tx>
          <c:spPr>
            <a:ln w="19050" cap="rnd">
              <a:solidFill>
                <a:sysClr val="windowText" lastClr="000000"/>
              </a:solidFill>
              <a:round/>
            </a:ln>
            <a:effectLst/>
          </c:spPr>
          <c:marker>
            <c:symbol val="none"/>
          </c:marker>
          <c:xVal>
            <c:numRef>
              <c:f>'FALL 2'!$C$45:$C$69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2'!$H$45:$H$69</c:f>
              <c:numCache>
                <c:formatCode>General</c:formatCode>
                <c:ptCount val="25"/>
                <c:pt idx="23">
                  <c:v>0</c:v>
                </c:pt>
                <c:pt idx="24">
                  <c:v>99</c:v>
                </c:pt>
              </c:numCache>
            </c:numRef>
          </c:yVal>
          <c:smooth val="1"/>
          <c:extLst>
            <c:ext xmlns:c16="http://schemas.microsoft.com/office/drawing/2014/chart" uri="{C3380CC4-5D6E-409C-BE32-E72D297353CC}">
              <c16:uniqueId val="{00000004-62DA-4218-82D7-218D3BEAA74B}"/>
            </c:ext>
          </c:extLst>
        </c:ser>
        <c:dLbls>
          <c:showLegendKey val="0"/>
          <c:showVal val="0"/>
          <c:showCatName val="0"/>
          <c:showSerName val="0"/>
          <c:showPercent val="0"/>
          <c:showBubbleSize val="0"/>
        </c:dLbls>
        <c:axId val="771504352"/>
        <c:axId val="771505664"/>
      </c:scatterChart>
      <c:scatterChart>
        <c:scatterStyle val="smoothMarker"/>
        <c:varyColors val="0"/>
        <c:ser>
          <c:idx val="2"/>
          <c:order val="1"/>
          <c:tx>
            <c:v>relative Verteilungsdichte in Urne und Entnahmebereich</c:v>
          </c:tx>
          <c:spPr>
            <a:ln w="19050" cap="rnd">
              <a:solidFill>
                <a:srgbClr val="FF0000"/>
              </a:solidFill>
              <a:prstDash val="sysDot"/>
              <a:round/>
            </a:ln>
            <a:effectLst/>
          </c:spPr>
          <c:marker>
            <c:symbol val="none"/>
          </c:marker>
          <c:xVal>
            <c:numRef>
              <c:f>'FALL 2'!$C$45:$C$69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2'!$F$45:$F$69</c:f>
              <c:numCache>
                <c:formatCode>General</c:formatCode>
                <c:ptCount val="25"/>
                <c:pt idx="0">
                  <c:v>0.12570562286777448</c:v>
                </c:pt>
                <c:pt idx="1">
                  <c:v>0.31145671284594317</c:v>
                </c:pt>
                <c:pt idx="2">
                  <c:v>0.56024393252220051</c:v>
                </c:pt>
                <c:pt idx="3">
                  <c:v>0.79612976608723884</c:v>
                </c:pt>
                <c:pt idx="4">
                  <c:v>0.95110398678278196</c:v>
                </c:pt>
                <c:pt idx="5">
                  <c:v>0.99998473350614492</c:v>
                </c:pt>
                <c:pt idx="6">
                  <c:v>0.95701243188764051</c:v>
                </c:pt>
                <c:pt idx="7">
                  <c:v>0.85462625818590243</c:v>
                </c:pt>
                <c:pt idx="8">
                  <c:v>0.7252736117553692</c:v>
                </c:pt>
                <c:pt idx="9">
                  <c:v>0.59283539200635094</c:v>
                </c:pt>
                <c:pt idx="10">
                  <c:v>0.47138075725844353</c:v>
                </c:pt>
                <c:pt idx="11">
                  <c:v>0.36726514298474677</c:v>
                </c:pt>
                <c:pt idx="12">
                  <c:v>0.28189501445759513</c:v>
                </c:pt>
                <c:pt idx="13">
                  <c:v>0.2139981005418411</c:v>
                </c:pt>
                <c:pt idx="14">
                  <c:v>0.16114239227628391</c:v>
                </c:pt>
                <c:pt idx="15">
                  <c:v>0.12061920949496745</c:v>
                </c:pt>
                <c:pt idx="16">
                  <c:v>8.9890569265926937E-2</c:v>
                </c:pt>
                <c:pt idx="17">
                  <c:v>6.6773854126521703E-2</c:v>
                </c:pt>
                <c:pt idx="18">
                  <c:v>4.9483932398744872E-2</c:v>
                </c:pt>
                <c:pt idx="19">
                  <c:v>3.6606682416070464E-2</c:v>
                </c:pt>
                <c:pt idx="20">
                  <c:v>2.7045554135595829E-2</c:v>
                </c:pt>
              </c:numCache>
            </c:numRef>
          </c:yVal>
          <c:smooth val="1"/>
          <c:extLst>
            <c:ext xmlns:c16="http://schemas.microsoft.com/office/drawing/2014/chart" uri="{C3380CC4-5D6E-409C-BE32-E72D297353CC}">
              <c16:uniqueId val="{00000002-62DA-4218-82D7-218D3BEAA74B}"/>
            </c:ext>
          </c:extLst>
        </c:ser>
        <c:dLbls>
          <c:showLegendKey val="0"/>
          <c:showVal val="0"/>
          <c:showCatName val="0"/>
          <c:showSerName val="0"/>
          <c:showPercent val="0"/>
          <c:showBubbleSize val="0"/>
        </c:dLbls>
        <c:axId val="771506648"/>
        <c:axId val="771541416"/>
      </c:scatterChart>
      <c:valAx>
        <c:axId val="7715043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Bandbreite</a:t>
                </a:r>
                <a:r>
                  <a:rPr lang="de-CH" baseline="0"/>
                  <a:t> der Zahlenverteilung in der Urne mit Absteckung des Entnahmebereichs</a:t>
                </a:r>
                <a:endParaRPr lang="de-CH"/>
              </a:p>
            </c:rich>
          </c:tx>
          <c:layout>
            <c:manualLayout>
              <c:xMode val="edge"/>
              <c:yMode val="edge"/>
              <c:x val="0.20233490109038382"/>
              <c:y val="0.807159900466987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1505664"/>
        <c:crosses val="autoZero"/>
        <c:crossBetween val="midCat"/>
      </c:valAx>
      <c:valAx>
        <c:axId val="771505664"/>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Unterschreitungshäufigkeit</a:t>
                </a:r>
                <a:r>
                  <a:rPr lang="de-CH" baseline="0"/>
                  <a:t> einer bestimmten</a:t>
                </a:r>
              </a:p>
              <a:p>
                <a:pPr>
                  <a:defRPr/>
                </a:pPr>
                <a:r>
                  <a:rPr lang="de-CH" baseline="0"/>
                  <a:t>Zahl innerhalb der Urne</a:t>
                </a:r>
              </a:p>
              <a:p>
                <a:pPr>
                  <a:defRPr/>
                </a:pPr>
                <a:r>
                  <a:rPr lang="de-CH" baseline="0"/>
                  <a:t>yeff. = (Ablesung*0.98)+1 [%]</a:t>
                </a:r>
                <a:endParaRPr lang="de-CH"/>
              </a:p>
            </c:rich>
          </c:tx>
          <c:layout>
            <c:manualLayout>
              <c:xMode val="edge"/>
              <c:yMode val="edge"/>
              <c:x val="2.7198015342421823E-2"/>
              <c:y val="0.133802308802308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1504352"/>
        <c:crosses val="autoZero"/>
        <c:crossBetween val="midCat"/>
        <c:majorUnit val="10"/>
      </c:valAx>
      <c:valAx>
        <c:axId val="771541416"/>
        <c:scaling>
          <c:orientation val="minMax"/>
          <c:max val="1"/>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relative</a:t>
                </a:r>
                <a:r>
                  <a:rPr lang="de-CH" baseline="0"/>
                  <a:t> Verteilungsdichte der Zahlen in der Urne [-]</a:t>
                </a:r>
                <a:endParaRPr lang="de-CH"/>
              </a:p>
            </c:rich>
          </c:tx>
          <c:layout>
            <c:manualLayout>
              <c:xMode val="edge"/>
              <c:yMode val="edge"/>
              <c:x val="0.93822894779661981"/>
              <c:y val="0.130194805194805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1506648"/>
        <c:crosses val="max"/>
        <c:crossBetween val="midCat"/>
        <c:majorUnit val="0.1"/>
        <c:minorUnit val="1.0000000000000002E-2"/>
      </c:valAx>
      <c:valAx>
        <c:axId val="771506648"/>
        <c:scaling>
          <c:orientation val="minMax"/>
        </c:scaling>
        <c:delete val="1"/>
        <c:axPos val="b"/>
        <c:numFmt formatCode="General" sourceLinked="1"/>
        <c:majorTickMark val="out"/>
        <c:minorTickMark val="none"/>
        <c:tickLblPos val="nextTo"/>
        <c:crossAx val="771541416"/>
        <c:crosses val="autoZero"/>
        <c:crossBetween val="midCat"/>
      </c:valAx>
      <c:spPr>
        <a:noFill/>
        <a:ln>
          <a:noFill/>
        </a:ln>
        <a:effectLst/>
      </c:spPr>
    </c:plotArea>
    <c:legend>
      <c:legendPos val="b"/>
      <c:layout>
        <c:manualLayout>
          <c:xMode val="edge"/>
          <c:yMode val="edge"/>
          <c:x val="1.3617991147333003E-2"/>
          <c:y val="0.88004965288429859"/>
          <c:w val="0.9607843830841899"/>
          <c:h val="9.83053254706797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solidFill>
                  <a:srgbClr val="FF0000"/>
                </a:solidFill>
              </a:rPr>
              <a:t>FALL</a:t>
            </a:r>
            <a:r>
              <a:rPr lang="de-CH" baseline="0">
                <a:solidFill>
                  <a:srgbClr val="FF0000"/>
                </a:solidFill>
              </a:rPr>
              <a:t> C: Y [%] = {1-[e^[-A*e^(B*x)]]}*100</a:t>
            </a:r>
            <a:endParaRPr lang="de-CH">
              <a:solidFill>
                <a:srgbClr val="FF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Summenhäufigkeitsverteilung in der Urne</c:v>
          </c:tx>
          <c:spPr>
            <a:ln w="19050" cap="rnd">
              <a:solidFill>
                <a:srgbClr val="FF0000"/>
              </a:solidFill>
              <a:round/>
            </a:ln>
            <a:effectLst/>
          </c:spPr>
          <c:marker>
            <c:symbol val="none"/>
          </c:marker>
          <c:xVal>
            <c:numRef>
              <c:f>'FALL 3'!$C$45:$C$69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3'!$D$45:$D$69</c:f>
              <c:numCache>
                <c:formatCode>General</c:formatCode>
                <c:ptCount val="25"/>
                <c:pt idx="0">
                  <c:v>1.0000000000000009</c:v>
                </c:pt>
                <c:pt idx="1">
                  <c:v>1.3560412763295449</c:v>
                </c:pt>
                <c:pt idx="2">
                  <c:v>1.8376663654758429</c:v>
                </c:pt>
                <c:pt idx="3">
                  <c:v>2.4881802459208124</c:v>
                </c:pt>
                <c:pt idx="4">
                  <c:v>3.3649907981973093</c:v>
                </c:pt>
                <c:pt idx="5">
                  <c:v>4.5435050582114389</c:v>
                </c:pt>
                <c:pt idx="6">
                  <c:v>6.1215038843547287</c:v>
                </c:pt>
                <c:pt idx="7">
                  <c:v>8.2234795976887654</c:v>
                </c:pt>
                <c:pt idx="8">
                  <c:v>11.003781574171189</c:v>
                </c:pt>
                <c:pt idx="9">
                  <c:v>14.646331089766406</c:v>
                </c:pt>
                <c:pt idx="10">
                  <c:v>19.357009246469438</c:v>
                </c:pt>
                <c:pt idx="11">
                  <c:v>25.34266317916487</c:v>
                </c:pt>
                <c:pt idx="12">
                  <c:v>32.768726722255813</c:v>
                </c:pt>
                <c:pt idx="13">
                  <c:v>41.687876395227519</c:v>
                </c:pt>
                <c:pt idx="14">
                  <c:v>51.939558959923495</c:v>
                </c:pt>
                <c:pt idx="15">
                  <c:v>63.041480847810384</c:v>
                </c:pt>
                <c:pt idx="16">
                  <c:v>74.132869864675072</c:v>
                </c:pt>
                <c:pt idx="17">
                  <c:v>84.069500824911913</c:v>
                </c:pt>
                <c:pt idx="18">
                  <c:v>91.753998451657054</c:v>
                </c:pt>
                <c:pt idx="19">
                  <c:v>96.629170612072272</c:v>
                </c:pt>
                <c:pt idx="20">
                  <c:v>99.000097383735124</c:v>
                </c:pt>
              </c:numCache>
            </c:numRef>
          </c:yVal>
          <c:smooth val="1"/>
          <c:extLst>
            <c:ext xmlns:c16="http://schemas.microsoft.com/office/drawing/2014/chart" uri="{C3380CC4-5D6E-409C-BE32-E72D297353CC}">
              <c16:uniqueId val="{00000000-2F10-48D8-8FDE-BA72F609CAC6}"/>
            </c:ext>
          </c:extLst>
        </c:ser>
        <c:ser>
          <c:idx val="3"/>
          <c:order val="2"/>
          <c:tx>
            <c:v>untere Entnahmegrenze</c:v>
          </c:tx>
          <c:spPr>
            <a:ln w="19050" cap="rnd">
              <a:solidFill>
                <a:srgbClr val="0070C0"/>
              </a:solidFill>
              <a:round/>
            </a:ln>
            <a:effectLst/>
          </c:spPr>
          <c:marker>
            <c:symbol val="none"/>
          </c:marker>
          <c:xVal>
            <c:numRef>
              <c:f>'FALL 3'!$C$45:$C$69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3'!$G$45:$G$69</c:f>
              <c:numCache>
                <c:formatCode>General</c:formatCode>
                <c:ptCount val="25"/>
                <c:pt idx="21">
                  <c:v>0</c:v>
                </c:pt>
                <c:pt idx="22">
                  <c:v>99</c:v>
                </c:pt>
              </c:numCache>
            </c:numRef>
          </c:yVal>
          <c:smooth val="1"/>
          <c:extLst>
            <c:ext xmlns:c16="http://schemas.microsoft.com/office/drawing/2014/chart" uri="{C3380CC4-5D6E-409C-BE32-E72D297353CC}">
              <c16:uniqueId val="{00000003-2F10-48D8-8FDE-BA72F609CAC6}"/>
            </c:ext>
          </c:extLst>
        </c:ser>
        <c:ser>
          <c:idx val="4"/>
          <c:order val="3"/>
          <c:tx>
            <c:v>obere Entnahmegrenze</c:v>
          </c:tx>
          <c:spPr>
            <a:ln w="19050" cap="rnd">
              <a:solidFill>
                <a:sysClr val="windowText" lastClr="000000"/>
              </a:solidFill>
              <a:round/>
            </a:ln>
            <a:effectLst/>
          </c:spPr>
          <c:marker>
            <c:symbol val="none"/>
          </c:marker>
          <c:xVal>
            <c:numRef>
              <c:f>'FALL 3'!$C$45:$C$69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3'!$H$45:$H$69</c:f>
              <c:numCache>
                <c:formatCode>General</c:formatCode>
                <c:ptCount val="25"/>
                <c:pt idx="23">
                  <c:v>0</c:v>
                </c:pt>
                <c:pt idx="24">
                  <c:v>99</c:v>
                </c:pt>
              </c:numCache>
            </c:numRef>
          </c:yVal>
          <c:smooth val="1"/>
          <c:extLst>
            <c:ext xmlns:c16="http://schemas.microsoft.com/office/drawing/2014/chart" uri="{C3380CC4-5D6E-409C-BE32-E72D297353CC}">
              <c16:uniqueId val="{00000004-2F10-48D8-8FDE-BA72F609CAC6}"/>
            </c:ext>
          </c:extLst>
        </c:ser>
        <c:dLbls>
          <c:showLegendKey val="0"/>
          <c:showVal val="0"/>
          <c:showCatName val="0"/>
          <c:showSerName val="0"/>
          <c:showPercent val="0"/>
          <c:showBubbleSize val="0"/>
        </c:dLbls>
        <c:axId val="710783632"/>
        <c:axId val="710783304"/>
      </c:scatterChart>
      <c:scatterChart>
        <c:scatterStyle val="smoothMarker"/>
        <c:varyColors val="0"/>
        <c:ser>
          <c:idx val="2"/>
          <c:order val="1"/>
          <c:tx>
            <c:v>relative Verteilungsdichte in Urne und Entnahmebereich</c:v>
          </c:tx>
          <c:spPr>
            <a:ln w="19050" cap="rnd">
              <a:solidFill>
                <a:srgbClr val="FF0000"/>
              </a:solidFill>
              <a:prstDash val="sysDot"/>
              <a:round/>
            </a:ln>
            <a:effectLst/>
          </c:spPr>
          <c:marker>
            <c:symbol val="none"/>
          </c:marker>
          <c:xVal>
            <c:numRef>
              <c:f>'FALL 3'!$C$45:$C$69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3'!$F$45:$F$69</c:f>
              <c:numCache>
                <c:formatCode>General</c:formatCode>
                <c:ptCount val="25"/>
                <c:pt idx="0">
                  <c:v>2.7051515009434715E-2</c:v>
                </c:pt>
                <c:pt idx="1">
                  <c:v>3.661681834296996E-2</c:v>
                </c:pt>
                <c:pt idx="2">
                  <c:v>4.9500399251794683E-2</c:v>
                </c:pt>
                <c:pt idx="3">
                  <c:v>6.6799744803956257E-2</c:v>
                </c:pt>
                <c:pt idx="4">
                  <c:v>8.9930239309919682E-2</c:v>
                </c:pt>
                <c:pt idx="5">
                  <c:v>0.12067865326523741</c:v>
                </c:pt>
                <c:pt idx="6">
                  <c:v>0.16122961240211017</c:v>
                </c:pt>
                <c:pt idx="7">
                  <c:v>0.21412332995178823</c:v>
                </c:pt>
                <c:pt idx="8">
                  <c:v>0.28207050024560165</c:v>
                </c:pt>
                <c:pt idx="9">
                  <c:v>0.36750396080465336</c:v>
                </c:pt>
                <c:pt idx="10">
                  <c:v>0.4716938030322072</c:v>
                </c:pt>
                <c:pt idx="11">
                  <c:v>0.59322542103651388</c:v>
                </c:pt>
                <c:pt idx="12">
                  <c:v>0.72572537852111896</c:v>
                </c:pt>
                <c:pt idx="13">
                  <c:v>0.85509338493945153</c:v>
                </c:pt>
                <c:pt idx="14">
                  <c:v>0.95740602350457515</c:v>
                </c:pt>
                <c:pt idx="15">
                  <c:v>1.0001765776800706</c:v>
                </c:pt>
                <c:pt idx="16">
                  <c:v>0.95096400984823715</c:v>
                </c:pt>
                <c:pt idx="17">
                  <c:v>0.79560761656921186</c:v>
                </c:pt>
                <c:pt idx="18">
                  <c:v>0.55945695128326145</c:v>
                </c:pt>
                <c:pt idx="19">
                  <c:v>0.31068032343119806</c:v>
                </c:pt>
                <c:pt idx="20">
                  <c:v>0.12519540702068838</c:v>
                </c:pt>
              </c:numCache>
            </c:numRef>
          </c:yVal>
          <c:smooth val="1"/>
          <c:extLst>
            <c:ext xmlns:c16="http://schemas.microsoft.com/office/drawing/2014/chart" uri="{C3380CC4-5D6E-409C-BE32-E72D297353CC}">
              <c16:uniqueId val="{00000002-2F10-48D8-8FDE-BA72F609CAC6}"/>
            </c:ext>
          </c:extLst>
        </c:ser>
        <c:dLbls>
          <c:showLegendKey val="0"/>
          <c:showVal val="0"/>
          <c:showCatName val="0"/>
          <c:showSerName val="0"/>
          <c:showPercent val="0"/>
          <c:showBubbleSize val="0"/>
        </c:dLbls>
        <c:axId val="663833008"/>
        <c:axId val="663836944"/>
      </c:scatterChart>
      <c:valAx>
        <c:axId val="710783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Bandbreite</a:t>
                </a:r>
                <a:r>
                  <a:rPr lang="de-CH" baseline="0"/>
                  <a:t> der Zahlenverteilung in der Urne mit Absteckung des Entnahmebereichs</a:t>
                </a:r>
                <a:endParaRPr lang="de-CH"/>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0783304"/>
        <c:crosses val="autoZero"/>
        <c:crossBetween val="midCat"/>
      </c:valAx>
      <c:valAx>
        <c:axId val="71078330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Unterschreitungshäufigkeit</a:t>
                </a:r>
                <a:r>
                  <a:rPr lang="de-CH" baseline="0"/>
                  <a:t> einer bestimmten</a:t>
                </a:r>
              </a:p>
              <a:p>
                <a:pPr>
                  <a:defRPr/>
                </a:pPr>
                <a:r>
                  <a:rPr lang="de-CH" baseline="0"/>
                  <a:t>Zahl innerhalb der Urne</a:t>
                </a:r>
              </a:p>
              <a:p>
                <a:pPr>
                  <a:defRPr/>
                </a:pPr>
                <a:r>
                  <a:rPr lang="de-CH" baseline="0"/>
                  <a:t>yeff. = (Ablesung*0,98)+1 [%]</a:t>
                </a:r>
                <a:endParaRPr lang="de-CH"/>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10783632"/>
        <c:crosses val="autoZero"/>
        <c:crossBetween val="midCat"/>
        <c:majorUnit val="10"/>
      </c:valAx>
      <c:valAx>
        <c:axId val="663836944"/>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relative</a:t>
                </a:r>
                <a:r>
                  <a:rPr lang="de-CH" baseline="0"/>
                  <a:t> Verteilungsdichte der Zahlen in der Urne [-]</a:t>
                </a:r>
                <a:endParaRPr lang="de-CH"/>
              </a:p>
            </c:rich>
          </c:tx>
          <c:layout>
            <c:manualLayout>
              <c:xMode val="edge"/>
              <c:yMode val="edge"/>
              <c:x val="0.96232430587432172"/>
              <c:y val="8.311735061195106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3833008"/>
        <c:crosses val="max"/>
        <c:crossBetween val="midCat"/>
        <c:majorUnit val="0.1"/>
      </c:valAx>
      <c:valAx>
        <c:axId val="663833008"/>
        <c:scaling>
          <c:orientation val="minMax"/>
        </c:scaling>
        <c:delete val="1"/>
        <c:axPos val="b"/>
        <c:numFmt formatCode="General" sourceLinked="1"/>
        <c:majorTickMark val="out"/>
        <c:minorTickMark val="none"/>
        <c:tickLblPos val="nextTo"/>
        <c:crossAx val="663836944"/>
        <c:crosses val="autoZero"/>
        <c:crossBetween val="midCat"/>
      </c:valAx>
      <c:spPr>
        <a:noFill/>
        <a:ln>
          <a:noFill/>
        </a:ln>
        <a:effectLst/>
      </c:spPr>
    </c:plotArea>
    <c:legend>
      <c:legendPos val="b"/>
      <c:layout>
        <c:manualLayout>
          <c:xMode val="edge"/>
          <c:yMode val="edge"/>
          <c:x val="1.1428614444226977E-2"/>
          <c:y val="0.84146159645811014"/>
          <c:w val="0.98351053117122733"/>
          <c:h val="0.1231162586671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solidFill>
                  <a:srgbClr val="FF0000"/>
                </a:solidFill>
              </a:rPr>
              <a:t>FALL</a:t>
            </a:r>
            <a:r>
              <a:rPr lang="de-CH" baseline="0">
                <a:solidFill>
                  <a:srgbClr val="FF0000"/>
                </a:solidFill>
              </a:rPr>
              <a:t> D: Y [%] = {[e^(B*ln(x)+A)] / [e^(B*ln(x)+A)+1]}*100</a:t>
            </a:r>
            <a:endParaRPr lang="de-CH">
              <a:solidFill>
                <a:srgbClr val="FF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Summenhäufigkeitsverteilung in der Urne</c:v>
          </c:tx>
          <c:spPr>
            <a:ln w="19050" cap="rnd">
              <a:solidFill>
                <a:srgbClr val="FF0000"/>
              </a:solidFill>
              <a:round/>
            </a:ln>
            <a:effectLst/>
          </c:spPr>
          <c:marker>
            <c:symbol val="none"/>
          </c:marker>
          <c:xVal>
            <c:numRef>
              <c:f>'FALL 4'!$D$45:$D$69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4'!$E$45:$E$69</c:f>
              <c:numCache>
                <c:formatCode>General</c:formatCode>
                <c:ptCount val="25"/>
                <c:pt idx="0">
                  <c:v>0.99999985163325522</c:v>
                </c:pt>
                <c:pt idx="1">
                  <c:v>15.631649335162514</c:v>
                </c:pt>
                <c:pt idx="2">
                  <c:v>39.523737123548486</c:v>
                </c:pt>
                <c:pt idx="3">
                  <c:v>59.641737924053139</c:v>
                </c:pt>
                <c:pt idx="4">
                  <c:v>73.007045579952546</c:v>
                </c:pt>
                <c:pt idx="5">
                  <c:v>81.385910552049125</c:v>
                </c:pt>
                <c:pt idx="6">
                  <c:v>86.690440534280995</c:v>
                </c:pt>
                <c:pt idx="7">
                  <c:v>90.154607726434023</c:v>
                </c:pt>
                <c:pt idx="8">
                  <c:v>92.497762586336961</c:v>
                </c:pt>
                <c:pt idx="9">
                  <c:v>94.136378268088365</c:v>
                </c:pt>
                <c:pt idx="10">
                  <c:v>95.317043910167172</c:v>
                </c:pt>
                <c:pt idx="11">
                  <c:v>96.190360047162343</c:v>
                </c:pt>
                <c:pt idx="12">
                  <c:v>96.851306983983591</c:v>
                </c:pt>
                <c:pt idx="13">
                  <c:v>97.361643609845601</c:v>
                </c:pt>
                <c:pt idx="14">
                  <c:v>97.762668938648105</c:v>
                </c:pt>
                <c:pt idx="15">
                  <c:v>98.082709928628475</c:v>
                </c:pt>
                <c:pt idx="16">
                  <c:v>98.341645025130759</c:v>
                </c:pt>
                <c:pt idx="17">
                  <c:v>98.55371357653496</c:v>
                </c:pt>
                <c:pt idx="18">
                  <c:v>98.729306085430906</c:v>
                </c:pt>
                <c:pt idx="19">
                  <c:v>98.876132313728334</c:v>
                </c:pt>
                <c:pt idx="20">
                  <c:v>99.000000148366738</c:v>
                </c:pt>
              </c:numCache>
            </c:numRef>
          </c:yVal>
          <c:smooth val="1"/>
          <c:extLst>
            <c:ext xmlns:c16="http://schemas.microsoft.com/office/drawing/2014/chart" uri="{C3380CC4-5D6E-409C-BE32-E72D297353CC}">
              <c16:uniqueId val="{00000000-7B22-4D25-831D-736B3B32198B}"/>
            </c:ext>
          </c:extLst>
        </c:ser>
        <c:ser>
          <c:idx val="3"/>
          <c:order val="2"/>
          <c:tx>
            <c:v>untere Entnahmegrenze</c:v>
          </c:tx>
          <c:spPr>
            <a:ln w="19050" cap="rnd">
              <a:solidFill>
                <a:srgbClr val="0070C0"/>
              </a:solidFill>
              <a:round/>
            </a:ln>
            <a:effectLst/>
          </c:spPr>
          <c:marker>
            <c:symbol val="none"/>
          </c:marker>
          <c:xVal>
            <c:numRef>
              <c:f>'FALL 4'!$D$45:$D$69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4'!$H$45:$H$69</c:f>
              <c:numCache>
                <c:formatCode>General</c:formatCode>
                <c:ptCount val="25"/>
                <c:pt idx="21">
                  <c:v>0</c:v>
                </c:pt>
                <c:pt idx="22">
                  <c:v>99</c:v>
                </c:pt>
              </c:numCache>
            </c:numRef>
          </c:yVal>
          <c:smooth val="1"/>
          <c:extLst>
            <c:ext xmlns:c16="http://schemas.microsoft.com/office/drawing/2014/chart" uri="{C3380CC4-5D6E-409C-BE32-E72D297353CC}">
              <c16:uniqueId val="{00000003-7B22-4D25-831D-736B3B32198B}"/>
            </c:ext>
          </c:extLst>
        </c:ser>
        <c:ser>
          <c:idx val="4"/>
          <c:order val="3"/>
          <c:tx>
            <c:v>obere Entnahmegrenze</c:v>
          </c:tx>
          <c:spPr>
            <a:ln w="19050" cap="rnd">
              <a:solidFill>
                <a:schemeClr val="tx1"/>
              </a:solidFill>
              <a:round/>
            </a:ln>
            <a:effectLst/>
          </c:spPr>
          <c:marker>
            <c:symbol val="none"/>
          </c:marker>
          <c:xVal>
            <c:numRef>
              <c:f>'FALL 4'!$D$45:$D$69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4'!$I$45:$I$69</c:f>
              <c:numCache>
                <c:formatCode>General</c:formatCode>
                <c:ptCount val="25"/>
                <c:pt idx="23">
                  <c:v>0</c:v>
                </c:pt>
                <c:pt idx="24">
                  <c:v>99</c:v>
                </c:pt>
              </c:numCache>
            </c:numRef>
          </c:yVal>
          <c:smooth val="1"/>
          <c:extLst>
            <c:ext xmlns:c16="http://schemas.microsoft.com/office/drawing/2014/chart" uri="{C3380CC4-5D6E-409C-BE32-E72D297353CC}">
              <c16:uniqueId val="{00000004-7B22-4D25-831D-736B3B32198B}"/>
            </c:ext>
          </c:extLst>
        </c:ser>
        <c:dLbls>
          <c:showLegendKey val="0"/>
          <c:showVal val="0"/>
          <c:showCatName val="0"/>
          <c:showSerName val="0"/>
          <c:showPercent val="0"/>
          <c:showBubbleSize val="0"/>
        </c:dLbls>
        <c:axId val="637404464"/>
        <c:axId val="637408400"/>
      </c:scatterChart>
      <c:scatterChart>
        <c:scatterStyle val="smoothMarker"/>
        <c:varyColors val="0"/>
        <c:ser>
          <c:idx val="2"/>
          <c:order val="1"/>
          <c:tx>
            <c:v>relative Verteilungsdichte in Urne und Entnahmebereich</c:v>
          </c:tx>
          <c:spPr>
            <a:ln w="19050" cap="rnd">
              <a:solidFill>
                <a:srgbClr val="FF0000"/>
              </a:solidFill>
              <a:prstDash val="sysDot"/>
              <a:round/>
            </a:ln>
            <a:effectLst/>
          </c:spPr>
          <c:marker>
            <c:symbol val="none"/>
          </c:marker>
          <c:xVal>
            <c:numRef>
              <c:f>'FALL 4'!$D$45:$D$69</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4'!$G$45:$G$69</c:f>
              <c:numCache>
                <c:formatCode>General</c:formatCode>
                <c:ptCount val="25"/>
                <c:pt idx="0">
                  <c:v>3.9599994184023601E-2</c:v>
                </c:pt>
                <c:pt idx="1">
                  <c:v>0.52752658903150584</c:v>
                </c:pt>
                <c:pt idx="2">
                  <c:v>0.95609916645739346</c:v>
                </c:pt>
                <c:pt idx="3">
                  <c:v>0.96281475592155041</c:v>
                </c:pt>
                <c:pt idx="4">
                  <c:v>0.78827034147279451</c:v>
                </c:pt>
                <c:pt idx="5">
                  <c:v>0.6059698475275086</c:v>
                </c:pt>
                <c:pt idx="6">
                  <c:v>0.46152462936015587</c:v>
                </c:pt>
                <c:pt idx="7">
                  <c:v>0.35504299133448219</c:v>
                </c:pt>
                <c:pt idx="8">
                  <c:v>0.27757607006213547</c:v>
                </c:pt>
                <c:pt idx="9">
                  <c:v>0.22079204535048702</c:v>
                </c:pt>
                <c:pt idx="10">
                  <c:v>0.17854621249759256</c:v>
                </c:pt>
                <c:pt idx="11">
                  <c:v>0.1465802554854036</c:v>
                </c:pt>
                <c:pt idx="12">
                  <c:v>0.12198201355701235</c:v>
                </c:pt>
                <c:pt idx="13">
                  <c:v>0.10274988582958863</c:v>
                </c:pt>
                <c:pt idx="14">
                  <c:v>8.7490982342839876E-2</c:v>
                </c:pt>
                <c:pt idx="15">
                  <c:v>7.5221202367749013E-2</c:v>
                </c:pt>
                <c:pt idx="16">
                  <c:v>6.5234142505700518E-2</c:v>
                </c:pt>
                <c:pt idx="17">
                  <c:v>5.7014759171121754E-2</c:v>
                </c:pt>
                <c:pt idx="18">
                  <c:v>5.0181891372954819E-2</c:v>
                </c:pt>
                <c:pt idx="19">
                  <c:v>4.444947602036823E-2</c:v>
                </c:pt>
                <c:pt idx="20">
                  <c:v>3.9599994184023601E-2</c:v>
                </c:pt>
              </c:numCache>
            </c:numRef>
          </c:yVal>
          <c:smooth val="1"/>
          <c:extLst>
            <c:ext xmlns:c16="http://schemas.microsoft.com/office/drawing/2014/chart" uri="{C3380CC4-5D6E-409C-BE32-E72D297353CC}">
              <c16:uniqueId val="{00000002-7B22-4D25-831D-736B3B32198B}"/>
            </c:ext>
          </c:extLst>
        </c:ser>
        <c:dLbls>
          <c:showLegendKey val="0"/>
          <c:showVal val="0"/>
          <c:showCatName val="0"/>
          <c:showSerName val="0"/>
          <c:showPercent val="0"/>
          <c:showBubbleSize val="0"/>
        </c:dLbls>
        <c:axId val="595137200"/>
        <c:axId val="595144744"/>
      </c:scatterChart>
      <c:valAx>
        <c:axId val="637404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Bandbreite</a:t>
                </a:r>
                <a:r>
                  <a:rPr lang="de-CH" baseline="0"/>
                  <a:t> der Zahlenverteilung in der Urne mit Absteckung des Entnahmebereichs</a:t>
                </a:r>
                <a:endParaRPr lang="de-CH"/>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7408400"/>
        <c:crosses val="autoZero"/>
        <c:crossBetween val="midCat"/>
      </c:valAx>
      <c:valAx>
        <c:axId val="63740840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Unterschreitungshäufigkeit</a:t>
                </a:r>
                <a:r>
                  <a:rPr lang="de-CH" baseline="0"/>
                  <a:t> einer</a:t>
                </a:r>
              </a:p>
              <a:p>
                <a:pPr>
                  <a:defRPr/>
                </a:pPr>
                <a:r>
                  <a:rPr lang="de-CH" baseline="0"/>
                  <a:t>bestimmten Zahl in der Urne</a:t>
                </a:r>
              </a:p>
              <a:p>
                <a:pPr>
                  <a:defRPr/>
                </a:pPr>
                <a:r>
                  <a:rPr lang="de-CH" baseline="0"/>
                  <a:t>yeff. = (Ablesung * 0,98)+1 [%]</a:t>
                </a:r>
                <a:endParaRPr lang="de-CH"/>
              </a:p>
            </c:rich>
          </c:tx>
          <c:layout>
            <c:manualLayout>
              <c:xMode val="edge"/>
              <c:yMode val="edge"/>
              <c:x val="1.4947683109118086E-2"/>
              <c:y val="0.185682977746593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37404464"/>
        <c:crosses val="autoZero"/>
        <c:crossBetween val="midCat"/>
        <c:majorUnit val="10"/>
      </c:valAx>
      <c:valAx>
        <c:axId val="595144744"/>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relative</a:t>
                </a:r>
                <a:r>
                  <a:rPr lang="de-CH" baseline="0"/>
                  <a:t> Verteilungsdichte der Zahlen in der Urne [%]</a:t>
                </a:r>
                <a:endParaRPr lang="de-CH"/>
              </a:p>
            </c:rich>
          </c:tx>
          <c:layout>
            <c:manualLayout>
              <c:xMode val="edge"/>
              <c:yMode val="edge"/>
              <c:x val="0.96373610917461028"/>
              <c:y val="6.820292961772060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5137200"/>
        <c:crosses val="max"/>
        <c:crossBetween val="midCat"/>
        <c:majorUnit val="0.1"/>
      </c:valAx>
      <c:valAx>
        <c:axId val="595137200"/>
        <c:scaling>
          <c:orientation val="minMax"/>
        </c:scaling>
        <c:delete val="1"/>
        <c:axPos val="b"/>
        <c:numFmt formatCode="General" sourceLinked="1"/>
        <c:majorTickMark val="out"/>
        <c:minorTickMark val="none"/>
        <c:tickLblPos val="nextTo"/>
        <c:crossAx val="595144744"/>
        <c:crosses val="autoZero"/>
        <c:crossBetween val="midCat"/>
      </c:valAx>
      <c:spPr>
        <a:noFill/>
        <a:ln>
          <a:noFill/>
        </a:ln>
        <a:effectLst/>
      </c:spPr>
    </c:plotArea>
    <c:legend>
      <c:legendPos val="b"/>
      <c:layout>
        <c:manualLayout>
          <c:xMode val="edge"/>
          <c:yMode val="edge"/>
          <c:x val="2.7662052276910203E-2"/>
          <c:y val="0.85317815980397949"/>
          <c:w val="0.96304772104155878"/>
          <c:h val="0.128958317509346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solidFill>
                  <a:srgbClr val="FF0000"/>
                </a:solidFill>
              </a:rPr>
              <a:t>FALL E: Y [%]</a:t>
            </a:r>
            <a:r>
              <a:rPr lang="de-CH" baseline="0">
                <a:solidFill>
                  <a:srgbClr val="FF0000"/>
                </a:solidFill>
              </a:rPr>
              <a:t> = {[e^(B*exp(x/xmax)+A)] / [e^(B*exp(x/xmax)+A)+1]}*100 </a:t>
            </a:r>
            <a:endParaRPr lang="de-CH">
              <a:solidFill>
                <a:srgbClr val="FF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2231266559689517"/>
          <c:y val="0.18523076923076923"/>
          <c:w val="0.78404749909815774"/>
          <c:h val="0.53646571101689222"/>
        </c:manualLayout>
      </c:layout>
      <c:scatterChart>
        <c:scatterStyle val="smoothMarker"/>
        <c:varyColors val="0"/>
        <c:ser>
          <c:idx val="0"/>
          <c:order val="0"/>
          <c:tx>
            <c:v>Summenhäufigkeitsverteilung in der Urne</c:v>
          </c:tx>
          <c:spPr>
            <a:ln w="19050" cap="rnd">
              <a:solidFill>
                <a:srgbClr val="FF0000"/>
              </a:solidFill>
              <a:prstDash val="solid"/>
              <a:round/>
            </a:ln>
            <a:effectLst/>
          </c:spPr>
          <c:marker>
            <c:symbol val="none"/>
          </c:marker>
          <c:xVal>
            <c:numRef>
              <c:f>'FALL 5'!$D$44:$D$68</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5'!$E$44:$E$68</c:f>
              <c:numCache>
                <c:formatCode>General</c:formatCode>
                <c:ptCount val="25"/>
                <c:pt idx="0">
                  <c:v>0.99999985163325522</c:v>
                </c:pt>
                <c:pt idx="1">
                  <c:v>1.3153456198336129</c:v>
                </c:pt>
                <c:pt idx="2">
                  <c:v>1.7522108875345146</c:v>
                </c:pt>
                <c:pt idx="3">
                  <c:v>2.364270847677429</c:v>
                </c:pt>
                <c:pt idx="4">
                  <c:v>3.2308785115201433</c:v>
                </c:pt>
                <c:pt idx="5">
                  <c:v>4.4691836512288079</c:v>
                </c:pt>
                <c:pt idx="6">
                  <c:v>6.250461164174177</c:v>
                </c:pt>
                <c:pt idx="7">
                  <c:v>8.8192398030841535</c:v>
                </c:pt>
                <c:pt idx="8">
                  <c:v>12.508208970160108</c:v>
                </c:pt>
                <c:pt idx="9">
                  <c:v>17.729423952985222</c:v>
                </c:pt>
                <c:pt idx="10">
                  <c:v>24.902726854190078</c:v>
                </c:pt>
                <c:pt idx="11">
                  <c:v>34.272323268049234</c:v>
                </c:pt>
                <c:pt idx="12">
                  <c:v>45.615638935511065</c:v>
                </c:pt>
                <c:pt idx="13">
                  <c:v>58.015323844366307</c:v>
                </c:pt>
                <c:pt idx="14">
                  <c:v>70.008494826329255</c:v>
                </c:pt>
                <c:pt idx="15">
                  <c:v>80.191920564837744</c:v>
                </c:pt>
                <c:pt idx="16">
                  <c:v>87.83199813800266</c:v>
                </c:pt>
                <c:pt idx="17">
                  <c:v>92.982087566274302</c:v>
                </c:pt>
                <c:pt idx="18">
                  <c:v>96.164520557375951</c:v>
                </c:pt>
                <c:pt idx="19">
                  <c:v>97.999612861448483</c:v>
                </c:pt>
                <c:pt idx="20">
                  <c:v>99.000000148366738</c:v>
                </c:pt>
              </c:numCache>
            </c:numRef>
          </c:yVal>
          <c:smooth val="1"/>
          <c:extLst>
            <c:ext xmlns:c16="http://schemas.microsoft.com/office/drawing/2014/chart" uri="{C3380CC4-5D6E-409C-BE32-E72D297353CC}">
              <c16:uniqueId val="{00000000-0D57-4265-9C43-54A5AB570EED}"/>
            </c:ext>
          </c:extLst>
        </c:ser>
        <c:ser>
          <c:idx val="3"/>
          <c:order val="2"/>
          <c:tx>
            <c:v>untere Entnahmegrenze</c:v>
          </c:tx>
          <c:spPr>
            <a:ln w="19050" cap="rnd">
              <a:solidFill>
                <a:srgbClr val="0070C0"/>
              </a:solidFill>
              <a:round/>
            </a:ln>
            <a:effectLst/>
          </c:spPr>
          <c:marker>
            <c:symbol val="none"/>
          </c:marker>
          <c:xVal>
            <c:numRef>
              <c:f>'FALL 5'!$D$44:$D$68</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5'!$H$44:$H$68</c:f>
              <c:numCache>
                <c:formatCode>General</c:formatCode>
                <c:ptCount val="25"/>
                <c:pt idx="21">
                  <c:v>0</c:v>
                </c:pt>
                <c:pt idx="22">
                  <c:v>99</c:v>
                </c:pt>
              </c:numCache>
            </c:numRef>
          </c:yVal>
          <c:smooth val="1"/>
          <c:extLst>
            <c:ext xmlns:c16="http://schemas.microsoft.com/office/drawing/2014/chart" uri="{C3380CC4-5D6E-409C-BE32-E72D297353CC}">
              <c16:uniqueId val="{00000003-0D57-4265-9C43-54A5AB570EED}"/>
            </c:ext>
          </c:extLst>
        </c:ser>
        <c:ser>
          <c:idx val="4"/>
          <c:order val="3"/>
          <c:tx>
            <c:v>obere Entnahmegrenze</c:v>
          </c:tx>
          <c:spPr>
            <a:ln w="19050" cap="rnd">
              <a:solidFill>
                <a:sysClr val="windowText" lastClr="000000"/>
              </a:solidFill>
              <a:round/>
            </a:ln>
            <a:effectLst/>
          </c:spPr>
          <c:marker>
            <c:symbol val="none"/>
          </c:marker>
          <c:dPt>
            <c:idx val="24"/>
            <c:marker>
              <c:symbol val="none"/>
            </c:marker>
            <c:bubble3D val="0"/>
            <c:spPr>
              <a:ln w="19050" cap="rnd">
                <a:solidFill>
                  <a:sysClr val="windowText" lastClr="000000"/>
                </a:solidFill>
                <a:round/>
              </a:ln>
              <a:effectLst/>
            </c:spPr>
            <c:extLst>
              <c:ext xmlns:c16="http://schemas.microsoft.com/office/drawing/2014/chart" uri="{C3380CC4-5D6E-409C-BE32-E72D297353CC}">
                <c16:uniqueId val="{00000005-0D57-4265-9C43-54A5AB570EED}"/>
              </c:ext>
            </c:extLst>
          </c:dPt>
          <c:xVal>
            <c:numRef>
              <c:f>'FALL 5'!$D$44:$D$68</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5'!$I$44:$I$68</c:f>
              <c:numCache>
                <c:formatCode>General</c:formatCode>
                <c:ptCount val="25"/>
                <c:pt idx="23">
                  <c:v>0</c:v>
                </c:pt>
                <c:pt idx="24">
                  <c:v>99</c:v>
                </c:pt>
              </c:numCache>
            </c:numRef>
          </c:yVal>
          <c:smooth val="1"/>
          <c:extLst>
            <c:ext xmlns:c16="http://schemas.microsoft.com/office/drawing/2014/chart" uri="{C3380CC4-5D6E-409C-BE32-E72D297353CC}">
              <c16:uniqueId val="{00000004-0D57-4265-9C43-54A5AB570EED}"/>
            </c:ext>
          </c:extLst>
        </c:ser>
        <c:dLbls>
          <c:showLegendKey val="0"/>
          <c:showVal val="0"/>
          <c:showCatName val="0"/>
          <c:showSerName val="0"/>
          <c:showPercent val="0"/>
          <c:showBubbleSize val="0"/>
        </c:dLbls>
        <c:axId val="577498808"/>
        <c:axId val="577499136"/>
      </c:scatterChart>
      <c:scatterChart>
        <c:scatterStyle val="smoothMarker"/>
        <c:varyColors val="0"/>
        <c:ser>
          <c:idx val="2"/>
          <c:order val="1"/>
          <c:tx>
            <c:v>relative Verteilungsdichte in Urne und Entnahmebereich</c:v>
          </c:tx>
          <c:spPr>
            <a:ln w="19050" cap="rnd">
              <a:solidFill>
                <a:srgbClr val="FF0000"/>
              </a:solidFill>
              <a:prstDash val="sysDot"/>
              <a:round/>
            </a:ln>
            <a:effectLst/>
          </c:spPr>
          <c:marker>
            <c:symbol val="none"/>
          </c:marker>
          <c:xVal>
            <c:numRef>
              <c:f>'FALL 5'!$D$44:$D$68</c:f>
              <c:numCache>
                <c:formatCode>General</c:formatCode>
                <c:ptCount val="25"/>
                <c:pt idx="0">
                  <c:v>1</c:v>
                </c:pt>
                <c:pt idx="1">
                  <c:v>3.45</c:v>
                </c:pt>
                <c:pt idx="2">
                  <c:v>5.9</c:v>
                </c:pt>
                <c:pt idx="3">
                  <c:v>8.3500000000000014</c:v>
                </c:pt>
                <c:pt idx="4">
                  <c:v>10.8</c:v>
                </c:pt>
                <c:pt idx="5">
                  <c:v>13.25</c:v>
                </c:pt>
                <c:pt idx="6">
                  <c:v>15.7</c:v>
                </c:pt>
                <c:pt idx="7">
                  <c:v>18.149999999999999</c:v>
                </c:pt>
                <c:pt idx="8">
                  <c:v>20.599999999999998</c:v>
                </c:pt>
                <c:pt idx="9">
                  <c:v>23.049999999999997</c:v>
                </c:pt>
                <c:pt idx="10">
                  <c:v>25.499999999999996</c:v>
                </c:pt>
                <c:pt idx="11">
                  <c:v>27.949999999999996</c:v>
                </c:pt>
                <c:pt idx="12">
                  <c:v>30.399999999999995</c:v>
                </c:pt>
                <c:pt idx="13">
                  <c:v>32.849999999999994</c:v>
                </c:pt>
                <c:pt idx="14">
                  <c:v>35.299999999999997</c:v>
                </c:pt>
                <c:pt idx="15">
                  <c:v>37.75</c:v>
                </c:pt>
                <c:pt idx="16">
                  <c:v>40.200000000000003</c:v>
                </c:pt>
                <c:pt idx="17">
                  <c:v>42.650000000000006</c:v>
                </c:pt>
                <c:pt idx="18">
                  <c:v>45.100000000000009</c:v>
                </c:pt>
                <c:pt idx="19">
                  <c:v>47.550000000000011</c:v>
                </c:pt>
                <c:pt idx="20">
                  <c:v>50</c:v>
                </c:pt>
                <c:pt idx="21">
                  <c:v>1</c:v>
                </c:pt>
                <c:pt idx="22">
                  <c:v>1</c:v>
                </c:pt>
                <c:pt idx="23">
                  <c:v>50</c:v>
                </c:pt>
                <c:pt idx="24">
                  <c:v>50</c:v>
                </c:pt>
              </c:numCache>
            </c:numRef>
          </c:xVal>
          <c:yVal>
            <c:numRef>
              <c:f>'FALL 5'!$G$44:$G$68</c:f>
              <c:numCache>
                <c:formatCode>General</c:formatCode>
                <c:ptCount val="25"/>
                <c:pt idx="0">
                  <c:v>3.9599994184023608E-2</c:v>
                </c:pt>
                <c:pt idx="1">
                  <c:v>5.1921771153498338E-2</c:v>
                </c:pt>
                <c:pt idx="2">
                  <c:v>6.8860338303622787E-2</c:v>
                </c:pt>
                <c:pt idx="3">
                  <c:v>9.2334923250626227E-2</c:v>
                </c:pt>
                <c:pt idx="4">
                  <c:v>0.12505971007832467</c:v>
                </c:pt>
                <c:pt idx="5">
                  <c:v>0.17077790504578799</c:v>
                </c:pt>
                <c:pt idx="6">
                  <c:v>0.23439114066102723</c:v>
                </c:pt>
                <c:pt idx="7">
                  <c:v>0.32165799584164456</c:v>
                </c:pt>
                <c:pt idx="8">
                  <c:v>0.4377462421499268</c:v>
                </c:pt>
                <c:pt idx="9">
                  <c:v>0.58344396863753434</c:v>
                </c:pt>
                <c:pt idx="10">
                  <c:v>0.74805075225784323</c:v>
                </c:pt>
                <c:pt idx="11">
                  <c:v>0.90105607384610187</c:v>
                </c:pt>
                <c:pt idx="12">
                  <c:v>0.99231095122247748</c:v>
                </c:pt>
                <c:pt idx="13">
                  <c:v>0.97430183346797339</c:v>
                </c:pt>
                <c:pt idx="14">
                  <c:v>0.83986405391390229</c:v>
                </c:pt>
                <c:pt idx="15">
                  <c:v>0.63537917304261105</c:v>
                </c:pt>
                <c:pt idx="16">
                  <c:v>0.42749596675446538</c:v>
                </c:pt>
                <c:pt idx="17">
                  <c:v>0.26101605937805117</c:v>
                </c:pt>
                <c:pt idx="18">
                  <c:v>0.14753481668304533</c:v>
                </c:pt>
                <c:pt idx="19">
                  <c:v>7.841486606042769E-2</c:v>
                </c:pt>
                <c:pt idx="20">
                  <c:v>3.9599994184023664E-2</c:v>
                </c:pt>
              </c:numCache>
            </c:numRef>
          </c:yVal>
          <c:smooth val="1"/>
          <c:extLst>
            <c:ext xmlns:c16="http://schemas.microsoft.com/office/drawing/2014/chart" uri="{C3380CC4-5D6E-409C-BE32-E72D297353CC}">
              <c16:uniqueId val="{00000002-0D57-4265-9C43-54A5AB570EED}"/>
            </c:ext>
          </c:extLst>
        </c:ser>
        <c:dLbls>
          <c:showLegendKey val="0"/>
          <c:showVal val="0"/>
          <c:showCatName val="0"/>
          <c:showSerName val="0"/>
          <c:showPercent val="0"/>
          <c:showBubbleSize val="0"/>
        </c:dLbls>
        <c:axId val="577489624"/>
        <c:axId val="577476832"/>
      </c:scatterChart>
      <c:valAx>
        <c:axId val="5774988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Bandbreite</a:t>
                </a:r>
                <a:r>
                  <a:rPr lang="de-CH" baseline="0"/>
                  <a:t> der Zahlenverteilung in der Urne mit Absteckung des Entnahmebereichs</a:t>
                </a:r>
                <a:endParaRPr lang="de-CH"/>
              </a:p>
            </c:rich>
          </c:tx>
          <c:layout>
            <c:manualLayout>
              <c:xMode val="edge"/>
              <c:yMode val="edge"/>
              <c:x val="0.17307519283888639"/>
              <c:y val="0.803027554817219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7499136"/>
        <c:crosses val="autoZero"/>
        <c:crossBetween val="midCat"/>
      </c:valAx>
      <c:valAx>
        <c:axId val="5774991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Unterschreitungshäufigkeit</a:t>
                </a:r>
                <a:r>
                  <a:rPr lang="de-CH" baseline="0"/>
                  <a:t> einer bestimmten</a:t>
                </a:r>
              </a:p>
              <a:p>
                <a:pPr>
                  <a:defRPr/>
                </a:pPr>
                <a:r>
                  <a:rPr lang="de-CH" baseline="0"/>
                  <a:t>Zahl innerhalb der Urne</a:t>
                </a:r>
              </a:p>
              <a:p>
                <a:pPr>
                  <a:defRPr/>
                </a:pPr>
                <a:r>
                  <a:rPr lang="de-CH" baseline="0"/>
                  <a:t>yeff = (Ablesung *0,98)+1 [%]</a:t>
                </a:r>
                <a:endParaRPr lang="de-CH"/>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7498808"/>
        <c:crosses val="autoZero"/>
        <c:crossBetween val="midCat"/>
      </c:valAx>
      <c:valAx>
        <c:axId val="577476832"/>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relative</a:t>
                </a:r>
                <a:r>
                  <a:rPr lang="de-CH" baseline="0"/>
                  <a:t> Verteilungsdichte der Zahlen in der Urne [-]</a:t>
                </a:r>
                <a:endParaRPr lang="de-CH"/>
              </a:p>
            </c:rich>
          </c:tx>
          <c:layout>
            <c:manualLayout>
              <c:xMode val="edge"/>
              <c:yMode val="edge"/>
              <c:x val="0.94825229192322524"/>
              <c:y val="0.1222125592509891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7489624"/>
        <c:crosses val="max"/>
        <c:crossBetween val="midCat"/>
      </c:valAx>
      <c:valAx>
        <c:axId val="577489624"/>
        <c:scaling>
          <c:orientation val="minMax"/>
        </c:scaling>
        <c:delete val="1"/>
        <c:axPos val="b"/>
        <c:numFmt formatCode="General" sourceLinked="1"/>
        <c:majorTickMark val="out"/>
        <c:minorTickMark val="none"/>
        <c:tickLblPos val="nextTo"/>
        <c:crossAx val="577476832"/>
        <c:crosses val="autoZero"/>
        <c:crossBetween val="midCat"/>
      </c:valAx>
      <c:spPr>
        <a:noFill/>
        <a:ln>
          <a:noFill/>
        </a:ln>
        <a:effectLst/>
      </c:spPr>
    </c:plotArea>
    <c:legend>
      <c:legendPos val="b"/>
      <c:layout>
        <c:manualLayout>
          <c:xMode val="edge"/>
          <c:yMode val="edge"/>
          <c:x val="2.2678340152895736E-2"/>
          <c:y val="0.88269072663010772"/>
          <c:w val="0.97004561929758781"/>
          <c:h val="8.29888587578005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horizontalDpi="-3" vertic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solidFill>
                  <a:srgbClr val="FF0000"/>
                </a:solidFill>
              </a:rPr>
              <a:t>FALL</a:t>
            </a:r>
            <a:r>
              <a:rPr lang="de-CH" baseline="0">
                <a:solidFill>
                  <a:srgbClr val="FF0000"/>
                </a:solidFill>
              </a:rPr>
              <a:t> GV: Y [%] = A + B*x</a:t>
            </a:r>
            <a:endParaRPr lang="de-CH">
              <a:solidFill>
                <a:srgbClr val="FF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Summenhäufigkeitsverteilung in der Urne</c:v>
          </c:tx>
          <c:spPr>
            <a:ln w="19050" cap="rnd">
              <a:solidFill>
                <a:srgbClr val="FF0000"/>
              </a:solidFill>
              <a:round/>
            </a:ln>
            <a:effectLst/>
          </c:spPr>
          <c:marker>
            <c:symbol val="none"/>
          </c:marker>
          <c:xVal>
            <c:numRef>
              <c:f>'FALL 6'!$C$45:$C$69</c:f>
              <c:numCache>
                <c:formatCode>General</c:formatCode>
                <c:ptCount val="25"/>
                <c:pt idx="0">
                  <c:v>0.5</c:v>
                </c:pt>
                <c:pt idx="1">
                  <c:v>2.9750000000000001</c:v>
                </c:pt>
                <c:pt idx="2">
                  <c:v>5.45</c:v>
                </c:pt>
                <c:pt idx="3">
                  <c:v>7.9250000000000007</c:v>
                </c:pt>
                <c:pt idx="4">
                  <c:v>10.4</c:v>
                </c:pt>
                <c:pt idx="5">
                  <c:v>12.875</c:v>
                </c:pt>
                <c:pt idx="6">
                  <c:v>15.35</c:v>
                </c:pt>
                <c:pt idx="7">
                  <c:v>17.824999999999999</c:v>
                </c:pt>
                <c:pt idx="8">
                  <c:v>20.3</c:v>
                </c:pt>
                <c:pt idx="9">
                  <c:v>22.775000000000002</c:v>
                </c:pt>
                <c:pt idx="10">
                  <c:v>25.250000000000004</c:v>
                </c:pt>
                <c:pt idx="11">
                  <c:v>27.725000000000005</c:v>
                </c:pt>
                <c:pt idx="12">
                  <c:v>30.200000000000006</c:v>
                </c:pt>
                <c:pt idx="13">
                  <c:v>32.675000000000004</c:v>
                </c:pt>
                <c:pt idx="14">
                  <c:v>35.150000000000006</c:v>
                </c:pt>
                <c:pt idx="15">
                  <c:v>37.625000000000007</c:v>
                </c:pt>
                <c:pt idx="16">
                  <c:v>40.100000000000009</c:v>
                </c:pt>
                <c:pt idx="17">
                  <c:v>42.57500000000001</c:v>
                </c:pt>
                <c:pt idx="18">
                  <c:v>45.050000000000011</c:v>
                </c:pt>
                <c:pt idx="19">
                  <c:v>47.525000000000013</c:v>
                </c:pt>
                <c:pt idx="20">
                  <c:v>50</c:v>
                </c:pt>
                <c:pt idx="21">
                  <c:v>1</c:v>
                </c:pt>
                <c:pt idx="22">
                  <c:v>1</c:v>
                </c:pt>
                <c:pt idx="23">
                  <c:v>50</c:v>
                </c:pt>
                <c:pt idx="24">
                  <c:v>50</c:v>
                </c:pt>
              </c:numCache>
            </c:numRef>
          </c:xVal>
          <c:yVal>
            <c:numRef>
              <c:f>'FALL 6'!$D$45:$D$69</c:f>
              <c:numCache>
                <c:formatCode>General</c:formatCode>
                <c:ptCount val="25"/>
                <c:pt idx="0">
                  <c:v>1</c:v>
                </c:pt>
                <c:pt idx="1">
                  <c:v>5.9</c:v>
                </c:pt>
                <c:pt idx="2">
                  <c:v>10.8</c:v>
                </c:pt>
                <c:pt idx="3">
                  <c:v>15.700000000000003</c:v>
                </c:pt>
                <c:pt idx="4">
                  <c:v>20.6</c:v>
                </c:pt>
                <c:pt idx="5">
                  <c:v>25.5</c:v>
                </c:pt>
                <c:pt idx="6">
                  <c:v>30.4</c:v>
                </c:pt>
                <c:pt idx="7">
                  <c:v>35.299999999999997</c:v>
                </c:pt>
                <c:pt idx="8">
                  <c:v>40.200000000000003</c:v>
                </c:pt>
                <c:pt idx="9">
                  <c:v>45.100000000000009</c:v>
                </c:pt>
                <c:pt idx="10">
                  <c:v>50.000000000000014</c:v>
                </c:pt>
                <c:pt idx="11">
                  <c:v>54.900000000000013</c:v>
                </c:pt>
                <c:pt idx="12">
                  <c:v>59.800000000000011</c:v>
                </c:pt>
                <c:pt idx="13">
                  <c:v>64.700000000000017</c:v>
                </c:pt>
                <c:pt idx="14">
                  <c:v>69.600000000000009</c:v>
                </c:pt>
                <c:pt idx="15">
                  <c:v>74.500000000000014</c:v>
                </c:pt>
                <c:pt idx="16">
                  <c:v>79.40000000000002</c:v>
                </c:pt>
                <c:pt idx="17">
                  <c:v>84.300000000000026</c:v>
                </c:pt>
                <c:pt idx="18">
                  <c:v>89.200000000000017</c:v>
                </c:pt>
                <c:pt idx="19">
                  <c:v>94.100000000000023</c:v>
                </c:pt>
                <c:pt idx="20">
                  <c:v>99</c:v>
                </c:pt>
              </c:numCache>
            </c:numRef>
          </c:yVal>
          <c:smooth val="1"/>
          <c:extLst>
            <c:ext xmlns:c16="http://schemas.microsoft.com/office/drawing/2014/chart" uri="{C3380CC4-5D6E-409C-BE32-E72D297353CC}">
              <c16:uniqueId val="{00000000-75E6-4272-B32F-41FB53899E3E}"/>
            </c:ext>
          </c:extLst>
        </c:ser>
        <c:ser>
          <c:idx val="3"/>
          <c:order val="2"/>
          <c:tx>
            <c:v>untere Entnahmegrenze</c:v>
          </c:tx>
          <c:spPr>
            <a:ln w="19050" cap="rnd">
              <a:solidFill>
                <a:srgbClr val="0070C0"/>
              </a:solidFill>
              <a:round/>
            </a:ln>
            <a:effectLst/>
          </c:spPr>
          <c:marker>
            <c:symbol val="none"/>
          </c:marker>
          <c:xVal>
            <c:numRef>
              <c:f>'FALL 6'!$C$45:$C$69</c:f>
              <c:numCache>
                <c:formatCode>General</c:formatCode>
                <c:ptCount val="25"/>
                <c:pt idx="0">
                  <c:v>0.5</c:v>
                </c:pt>
                <c:pt idx="1">
                  <c:v>2.9750000000000001</c:v>
                </c:pt>
                <c:pt idx="2">
                  <c:v>5.45</c:v>
                </c:pt>
                <c:pt idx="3">
                  <c:v>7.9250000000000007</c:v>
                </c:pt>
                <c:pt idx="4">
                  <c:v>10.4</c:v>
                </c:pt>
                <c:pt idx="5">
                  <c:v>12.875</c:v>
                </c:pt>
                <c:pt idx="6">
                  <c:v>15.35</c:v>
                </c:pt>
                <c:pt idx="7">
                  <c:v>17.824999999999999</c:v>
                </c:pt>
                <c:pt idx="8">
                  <c:v>20.3</c:v>
                </c:pt>
                <c:pt idx="9">
                  <c:v>22.775000000000002</c:v>
                </c:pt>
                <c:pt idx="10">
                  <c:v>25.250000000000004</c:v>
                </c:pt>
                <c:pt idx="11">
                  <c:v>27.725000000000005</c:v>
                </c:pt>
                <c:pt idx="12">
                  <c:v>30.200000000000006</c:v>
                </c:pt>
                <c:pt idx="13">
                  <c:v>32.675000000000004</c:v>
                </c:pt>
                <c:pt idx="14">
                  <c:v>35.150000000000006</c:v>
                </c:pt>
                <c:pt idx="15">
                  <c:v>37.625000000000007</c:v>
                </c:pt>
                <c:pt idx="16">
                  <c:v>40.100000000000009</c:v>
                </c:pt>
                <c:pt idx="17">
                  <c:v>42.57500000000001</c:v>
                </c:pt>
                <c:pt idx="18">
                  <c:v>45.050000000000011</c:v>
                </c:pt>
                <c:pt idx="19">
                  <c:v>47.525000000000013</c:v>
                </c:pt>
                <c:pt idx="20">
                  <c:v>50</c:v>
                </c:pt>
                <c:pt idx="21">
                  <c:v>1</c:v>
                </c:pt>
                <c:pt idx="22">
                  <c:v>1</c:v>
                </c:pt>
                <c:pt idx="23">
                  <c:v>50</c:v>
                </c:pt>
                <c:pt idx="24">
                  <c:v>50</c:v>
                </c:pt>
              </c:numCache>
            </c:numRef>
          </c:xVal>
          <c:yVal>
            <c:numRef>
              <c:f>'FALL 6'!$G$45:$G$69</c:f>
              <c:numCache>
                <c:formatCode>General</c:formatCode>
                <c:ptCount val="25"/>
                <c:pt idx="21">
                  <c:v>0</c:v>
                </c:pt>
                <c:pt idx="22">
                  <c:v>99</c:v>
                </c:pt>
              </c:numCache>
            </c:numRef>
          </c:yVal>
          <c:smooth val="1"/>
          <c:extLst>
            <c:ext xmlns:c16="http://schemas.microsoft.com/office/drawing/2014/chart" uri="{C3380CC4-5D6E-409C-BE32-E72D297353CC}">
              <c16:uniqueId val="{00000003-75E6-4272-B32F-41FB53899E3E}"/>
            </c:ext>
          </c:extLst>
        </c:ser>
        <c:ser>
          <c:idx val="4"/>
          <c:order val="3"/>
          <c:tx>
            <c:v>obere Entnahmegrenze</c:v>
          </c:tx>
          <c:spPr>
            <a:ln w="19050" cap="rnd">
              <a:solidFill>
                <a:sysClr val="windowText" lastClr="000000"/>
              </a:solidFill>
              <a:round/>
            </a:ln>
            <a:effectLst/>
          </c:spPr>
          <c:marker>
            <c:symbol val="none"/>
          </c:marker>
          <c:xVal>
            <c:numRef>
              <c:f>'FALL 6'!$C$45:$C$69</c:f>
              <c:numCache>
                <c:formatCode>General</c:formatCode>
                <c:ptCount val="25"/>
                <c:pt idx="0">
                  <c:v>0.5</c:v>
                </c:pt>
                <c:pt idx="1">
                  <c:v>2.9750000000000001</c:v>
                </c:pt>
                <c:pt idx="2">
                  <c:v>5.45</c:v>
                </c:pt>
                <c:pt idx="3">
                  <c:v>7.9250000000000007</c:v>
                </c:pt>
                <c:pt idx="4">
                  <c:v>10.4</c:v>
                </c:pt>
                <c:pt idx="5">
                  <c:v>12.875</c:v>
                </c:pt>
                <c:pt idx="6">
                  <c:v>15.35</c:v>
                </c:pt>
                <c:pt idx="7">
                  <c:v>17.824999999999999</c:v>
                </c:pt>
                <c:pt idx="8">
                  <c:v>20.3</c:v>
                </c:pt>
                <c:pt idx="9">
                  <c:v>22.775000000000002</c:v>
                </c:pt>
                <c:pt idx="10">
                  <c:v>25.250000000000004</c:v>
                </c:pt>
                <c:pt idx="11">
                  <c:v>27.725000000000005</c:v>
                </c:pt>
                <c:pt idx="12">
                  <c:v>30.200000000000006</c:v>
                </c:pt>
                <c:pt idx="13">
                  <c:v>32.675000000000004</c:v>
                </c:pt>
                <c:pt idx="14">
                  <c:v>35.150000000000006</c:v>
                </c:pt>
                <c:pt idx="15">
                  <c:v>37.625000000000007</c:v>
                </c:pt>
                <c:pt idx="16">
                  <c:v>40.100000000000009</c:v>
                </c:pt>
                <c:pt idx="17">
                  <c:v>42.57500000000001</c:v>
                </c:pt>
                <c:pt idx="18">
                  <c:v>45.050000000000011</c:v>
                </c:pt>
                <c:pt idx="19">
                  <c:v>47.525000000000013</c:v>
                </c:pt>
                <c:pt idx="20">
                  <c:v>50</c:v>
                </c:pt>
                <c:pt idx="21">
                  <c:v>1</c:v>
                </c:pt>
                <c:pt idx="22">
                  <c:v>1</c:v>
                </c:pt>
                <c:pt idx="23">
                  <c:v>50</c:v>
                </c:pt>
                <c:pt idx="24">
                  <c:v>50</c:v>
                </c:pt>
              </c:numCache>
            </c:numRef>
          </c:xVal>
          <c:yVal>
            <c:numRef>
              <c:f>'FALL 6'!$H$45:$H$69</c:f>
              <c:numCache>
                <c:formatCode>General</c:formatCode>
                <c:ptCount val="25"/>
                <c:pt idx="23">
                  <c:v>0</c:v>
                </c:pt>
                <c:pt idx="24">
                  <c:v>99</c:v>
                </c:pt>
              </c:numCache>
            </c:numRef>
          </c:yVal>
          <c:smooth val="1"/>
          <c:extLst>
            <c:ext xmlns:c16="http://schemas.microsoft.com/office/drawing/2014/chart" uri="{C3380CC4-5D6E-409C-BE32-E72D297353CC}">
              <c16:uniqueId val="{00000004-75E6-4272-B32F-41FB53899E3E}"/>
            </c:ext>
          </c:extLst>
        </c:ser>
        <c:dLbls>
          <c:showLegendKey val="0"/>
          <c:showVal val="0"/>
          <c:showCatName val="0"/>
          <c:showSerName val="0"/>
          <c:showPercent val="0"/>
          <c:showBubbleSize val="0"/>
        </c:dLbls>
        <c:axId val="617620952"/>
        <c:axId val="617619640"/>
      </c:scatterChart>
      <c:scatterChart>
        <c:scatterStyle val="smoothMarker"/>
        <c:varyColors val="0"/>
        <c:ser>
          <c:idx val="2"/>
          <c:order val="1"/>
          <c:tx>
            <c:v>absolute Verteilungsdichte in Urne und Entnahmebereich</c:v>
          </c:tx>
          <c:spPr>
            <a:ln w="19050" cap="rnd">
              <a:solidFill>
                <a:srgbClr val="FF0000"/>
              </a:solidFill>
              <a:prstDash val="sysDot"/>
              <a:round/>
            </a:ln>
            <a:effectLst/>
          </c:spPr>
          <c:marker>
            <c:symbol val="none"/>
          </c:marker>
          <c:xVal>
            <c:numRef>
              <c:f>'FALL 6'!$C$45:$C$69</c:f>
              <c:numCache>
                <c:formatCode>General</c:formatCode>
                <c:ptCount val="25"/>
                <c:pt idx="0">
                  <c:v>0.5</c:v>
                </c:pt>
                <c:pt idx="1">
                  <c:v>2.9750000000000001</c:v>
                </c:pt>
                <c:pt idx="2">
                  <c:v>5.45</c:v>
                </c:pt>
                <c:pt idx="3">
                  <c:v>7.9250000000000007</c:v>
                </c:pt>
                <c:pt idx="4">
                  <c:v>10.4</c:v>
                </c:pt>
                <c:pt idx="5">
                  <c:v>12.875</c:v>
                </c:pt>
                <c:pt idx="6">
                  <c:v>15.35</c:v>
                </c:pt>
                <c:pt idx="7">
                  <c:v>17.824999999999999</c:v>
                </c:pt>
                <c:pt idx="8">
                  <c:v>20.3</c:v>
                </c:pt>
                <c:pt idx="9">
                  <c:v>22.775000000000002</c:v>
                </c:pt>
                <c:pt idx="10">
                  <c:v>25.250000000000004</c:v>
                </c:pt>
                <c:pt idx="11">
                  <c:v>27.725000000000005</c:v>
                </c:pt>
                <c:pt idx="12">
                  <c:v>30.200000000000006</c:v>
                </c:pt>
                <c:pt idx="13">
                  <c:v>32.675000000000004</c:v>
                </c:pt>
                <c:pt idx="14">
                  <c:v>35.150000000000006</c:v>
                </c:pt>
                <c:pt idx="15">
                  <c:v>37.625000000000007</c:v>
                </c:pt>
                <c:pt idx="16">
                  <c:v>40.100000000000009</c:v>
                </c:pt>
                <c:pt idx="17">
                  <c:v>42.57500000000001</c:v>
                </c:pt>
                <c:pt idx="18">
                  <c:v>45.050000000000011</c:v>
                </c:pt>
                <c:pt idx="19">
                  <c:v>47.525000000000013</c:v>
                </c:pt>
                <c:pt idx="20">
                  <c:v>50</c:v>
                </c:pt>
                <c:pt idx="21">
                  <c:v>1</c:v>
                </c:pt>
                <c:pt idx="22">
                  <c:v>1</c:v>
                </c:pt>
                <c:pt idx="23">
                  <c:v>50</c:v>
                </c:pt>
                <c:pt idx="24">
                  <c:v>50</c:v>
                </c:pt>
              </c:numCache>
            </c:numRef>
          </c:xVal>
          <c:yVal>
            <c:numRef>
              <c:f>'FALL 6'!$F$45:$F$69</c:f>
              <c:numCache>
                <c:formatCode>General</c:formatCode>
                <c:ptCount val="25"/>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numCache>
            </c:numRef>
          </c:yVal>
          <c:smooth val="1"/>
          <c:extLst>
            <c:ext xmlns:c16="http://schemas.microsoft.com/office/drawing/2014/chart" uri="{C3380CC4-5D6E-409C-BE32-E72D297353CC}">
              <c16:uniqueId val="{00000002-75E6-4272-B32F-41FB53899E3E}"/>
            </c:ext>
          </c:extLst>
        </c:ser>
        <c:dLbls>
          <c:showLegendKey val="0"/>
          <c:showVal val="0"/>
          <c:showCatName val="0"/>
          <c:showSerName val="0"/>
          <c:showPercent val="0"/>
          <c:showBubbleSize val="0"/>
        </c:dLbls>
        <c:axId val="669453624"/>
        <c:axId val="669449360"/>
      </c:scatterChart>
      <c:valAx>
        <c:axId val="6176209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Bandbreite</a:t>
                </a:r>
                <a:r>
                  <a:rPr lang="de-CH" baseline="0"/>
                  <a:t> der Zahlenverteilung in der Urne mit Absteckung des Entnahmebereichs</a:t>
                </a:r>
                <a:endParaRPr lang="de-CH"/>
              </a:p>
            </c:rich>
          </c:tx>
          <c:layout>
            <c:manualLayout>
              <c:xMode val="edge"/>
              <c:yMode val="edge"/>
              <c:x val="0.1593879532181765"/>
              <c:y val="0.777828766627101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7619640"/>
        <c:crosses val="autoZero"/>
        <c:crossBetween val="midCat"/>
      </c:valAx>
      <c:valAx>
        <c:axId val="61761964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Unterschreitungshäufigkeit</a:t>
                </a:r>
                <a:r>
                  <a:rPr lang="de-CH" baseline="0"/>
                  <a:t> einer bestimmten</a:t>
                </a:r>
              </a:p>
              <a:p>
                <a:pPr>
                  <a:defRPr/>
                </a:pPr>
                <a:r>
                  <a:rPr lang="de-CH" baseline="0"/>
                  <a:t>Zahl in der Urne</a:t>
                </a:r>
              </a:p>
              <a:p>
                <a:pPr>
                  <a:defRPr/>
                </a:pPr>
                <a:r>
                  <a:rPr lang="de-CH" baseline="0"/>
                  <a:t>yeff. =(Ablesung * 0,98)+1 [%]</a:t>
                </a:r>
                <a:endParaRPr lang="de-CH"/>
              </a:p>
            </c:rich>
          </c:tx>
          <c:layout>
            <c:manualLayout>
              <c:xMode val="edge"/>
              <c:yMode val="edge"/>
              <c:x val="1.1764705882352941E-2"/>
              <c:y val="6.065485564304462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7620952"/>
        <c:crosses val="autoZero"/>
        <c:crossBetween val="midCat"/>
      </c:valAx>
      <c:valAx>
        <c:axId val="6694493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b="1" baseline="0"/>
                  <a:t>absolute</a:t>
                </a:r>
                <a:r>
                  <a:rPr lang="de-CH" baseline="0"/>
                  <a:t> Verteilungsdichte der Zahlen in der Urne  [-]</a:t>
                </a:r>
                <a:endParaRPr lang="de-CH"/>
              </a:p>
            </c:rich>
          </c:tx>
          <c:layout>
            <c:manualLayout>
              <c:xMode val="edge"/>
              <c:yMode val="edge"/>
              <c:x val="0.9606211894746034"/>
              <c:y val="4.412485859649709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9453624"/>
        <c:crosses val="max"/>
        <c:crossBetween val="midCat"/>
      </c:valAx>
      <c:valAx>
        <c:axId val="669453624"/>
        <c:scaling>
          <c:orientation val="minMax"/>
        </c:scaling>
        <c:delete val="1"/>
        <c:axPos val="b"/>
        <c:numFmt formatCode="General" sourceLinked="1"/>
        <c:majorTickMark val="out"/>
        <c:minorTickMark val="none"/>
        <c:tickLblPos val="nextTo"/>
        <c:crossAx val="669449360"/>
        <c:crosses val="autoZero"/>
        <c:crossBetween val="midCat"/>
      </c:valAx>
      <c:spPr>
        <a:noFill/>
        <a:ln>
          <a:noFill/>
        </a:ln>
        <a:effectLst/>
      </c:spPr>
    </c:plotArea>
    <c:legend>
      <c:legendPos val="b"/>
      <c:layout>
        <c:manualLayout>
          <c:xMode val="edge"/>
          <c:yMode val="edge"/>
          <c:x val="2.175883896865833E-2"/>
          <c:y val="0.83949055118110238"/>
          <c:w val="0.97824116103134162"/>
          <c:h val="9.75892388451443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landscape" horizontalDpi="-3" verticalDpi="-3"/>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12</xdr:col>
      <xdr:colOff>1889760</xdr:colOff>
      <xdr:row>30</xdr:row>
      <xdr:rowOff>144780</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641580" y="574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0</xdr:colOff>
      <xdr:row>1</xdr:row>
      <xdr:rowOff>227606</xdr:rowOff>
    </xdr:from>
    <xdr:ext cx="8618220" cy="5685514"/>
    <xdr:sp macro="" textlink="">
      <xdr:nvSpPr>
        <xdr:cNvPr id="5" name="Textfeld 4">
          <a:extLst>
            <a:ext uri="{FF2B5EF4-FFF2-40B4-BE49-F238E27FC236}">
              <a16:creationId xmlns:a16="http://schemas.microsoft.com/office/drawing/2014/main" id="{00000000-0008-0000-0000-000005000000}"/>
            </a:ext>
          </a:extLst>
        </xdr:cNvPr>
        <xdr:cNvSpPr txBox="1"/>
      </xdr:nvSpPr>
      <xdr:spPr>
        <a:xfrm rot="21600000">
          <a:off x="0" y="501926"/>
          <a:ext cx="8618220" cy="5685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000" b="1" baseline="0">
              <a:solidFill>
                <a:schemeClr val="bg1"/>
              </a:solidFill>
            </a:rPr>
            <a:t>THEMA UND INHALT</a:t>
          </a:r>
        </a:p>
        <a:p>
          <a:r>
            <a:rPr lang="de-CH" sz="1000" b="1" baseline="0">
              <a:solidFill>
                <a:schemeClr val="bg1"/>
              </a:solidFill>
            </a:rPr>
            <a:t>Zufallszahlen werden normalerweise aus gleichverteilten Zahlenreihen mittels &lt;Ziehung mit Zurücklegen&gt; gewonnen. Statistisch hat demnach jede gezogene Zufallszahl dieselbe Chance, zufälligerweise gezogen zu werden. Die Verteilungsdichte aus der Ziehung [ZZ = Anzahl  Ziehungen] wird damit durch eine horizontale Linie parallel zur X - Achse mit Abstand 1/n (bei n - Zahlen in der Urne) dargestellt, sobald ZZ gegen unendlich strebt. Die Häufigkeitsverteilungen, resp. die Verteilungsdichten von kontinuierlichen Zahlenreihen sind aber in der Natur oft normalverteilt, womit deren grafische Darstellung  einer symmetrischen, linksschiefen oder rechtsschiefen „Glockenkurve“ entsprechen kann. Bei  Asymmetrie des Glockenscheitels weicht dabei der Modalwert (Zahlenwert der Reihe mit grösster spezifischer Häufigkeit) in definierter Weise vom arithmetischen Mittelwert oder auch vom Zentralwert ab. Dasselbe gilt für Zahlenreihen, bei welchen nicht die realen Einzelwerte, sondern deren Logarithmen normalverteilt sind. Die realen Einzelwerte sind dann in ähnlicher Weise asymmetrisch verteilt, wie bei den vorgenannten Asymmetrien.</a:t>
          </a:r>
        </a:p>
        <a:p>
          <a:endParaRPr lang="de-CH" sz="1000" b="1" baseline="0">
            <a:solidFill>
              <a:schemeClr val="bg1"/>
            </a:solidFill>
          </a:endParaRPr>
        </a:p>
        <a:p>
          <a:r>
            <a:rPr lang="de-CH" sz="1000" b="1" baseline="0">
              <a:solidFill>
                <a:schemeClr val="bg1"/>
              </a:solidFill>
            </a:rPr>
            <a:t>Es sind auf dieser Seite (gelbe Eingabefelder) folgende Festlegungen zur Entnahme von Zufallszahlen zu treffen:</a:t>
          </a:r>
        </a:p>
        <a:p>
          <a:r>
            <a:rPr lang="de-CH" sz="1000" b="1" baseline="0">
              <a:solidFill>
                <a:schemeClr val="bg1"/>
              </a:solidFill>
            </a:rPr>
            <a:t>a) Bandbreite der kontinuierlichen Zahlen in der Urne. Eingabe xMIN wird statistisch mit 1%,  Eingabe xMAX statistisch mit 99% unterschritten</a:t>
          </a:r>
        </a:p>
        <a:p>
          <a:r>
            <a:rPr lang="de-CH" sz="1000" b="1" baseline="0">
              <a:solidFill>
                <a:schemeClr val="bg1"/>
              </a:solidFill>
            </a:rPr>
            <a:t>b) Bandbreite des Entnahmebereichs von Zufallszahlen aus der Urne; Eingabe xmin' </a:t>
          </a:r>
          <a:r>
            <a:rPr lang="de-CH" sz="1000" b="1" baseline="0">
              <a:solidFill>
                <a:schemeClr val="bg1"/>
              </a:solidFill>
              <a:latin typeface="Calibri" panose="020F0502020204030204" pitchFamily="34" charset="0"/>
              <a:cs typeface="Calibri" panose="020F0502020204030204" pitchFamily="34" charset="0"/>
            </a:rPr>
            <a:t>≥ xMIN, Eingabe xmax' ≤ xMAX</a:t>
          </a:r>
        </a:p>
        <a:p>
          <a:r>
            <a:rPr lang="de-CH" sz="1000" b="1" baseline="0">
              <a:solidFill>
                <a:schemeClr val="bg1"/>
              </a:solidFill>
            </a:rPr>
            <a:t>c) Gewünschte Anzahl Zufallswerte resp. Ziehungen [ZZ], wobei (5 ≤ ZZ ≤ 100) einzuhalten ist.</a:t>
          </a:r>
        </a:p>
        <a:p>
          <a:endParaRPr lang="de-CH" sz="1000" b="1" baseline="0">
            <a:solidFill>
              <a:schemeClr val="bg1"/>
            </a:solidFill>
          </a:endParaRPr>
        </a:p>
        <a:p>
          <a:r>
            <a:rPr lang="de-CH" sz="1000" b="1" baseline="0">
              <a:solidFill>
                <a:schemeClr val="bg1"/>
              </a:solidFill>
            </a:rPr>
            <a:t>In den Registerblättern  (FALL A, FALL B, FALL C, FALL D, FALL E, und FALL GV) werden die gezogenen Zufallszahlen wie folgt mitgeteilt:</a:t>
          </a:r>
        </a:p>
        <a:p>
          <a:r>
            <a:rPr lang="de-CH" sz="1000" b="1" baseline="0">
              <a:solidFill>
                <a:schemeClr val="bg1"/>
              </a:solidFill>
            </a:rPr>
            <a:t>FALL A: Aus symmetrisch – normal verteilten Zahlen in der Urne (Modus xs </a:t>
          </a:r>
          <a:r>
            <a:rPr lang="de-CH" sz="1000" b="1" baseline="0">
              <a:solidFill>
                <a:schemeClr val="bg1"/>
              </a:solidFill>
              <a:latin typeface="Calibri" panose="020F0502020204030204" pitchFamily="34" charset="0"/>
              <a:cs typeface="Calibri" panose="020F0502020204030204" pitchFamily="34" charset="0"/>
            </a:rPr>
            <a:t>≡ </a:t>
          </a:r>
          <a:r>
            <a:rPr lang="de-CH" sz="1000" b="1" baseline="0">
              <a:solidFill>
                <a:schemeClr val="bg1"/>
              </a:solidFill>
              <a:latin typeface="+mn-lt"/>
              <a:cs typeface="+mn-cs"/>
            </a:rPr>
            <a:t>a</a:t>
          </a:r>
          <a:r>
            <a:rPr lang="de-CH" sz="1000" b="1" baseline="0">
              <a:solidFill>
                <a:schemeClr val="bg1"/>
              </a:solidFill>
            </a:rPr>
            <a:t>rithmetischer Mittelwert xam, mit ys = 0.5)</a:t>
          </a:r>
        </a:p>
        <a:p>
          <a:r>
            <a:rPr lang="de-CH" sz="1000" b="1" baseline="0">
              <a:solidFill>
                <a:schemeClr val="bg1"/>
              </a:solidFill>
            </a:rPr>
            <a:t>FALL B: Aus rechtsschief  – normal verteilten Zahlen in der Urne (Modus xs &lt; arithmetischer Mittelwert xam, mit ys = (e^ -1))</a:t>
          </a:r>
        </a:p>
        <a:p>
          <a:r>
            <a:rPr lang="de-CH" sz="1000" b="1" baseline="0">
              <a:solidFill>
                <a:schemeClr val="bg1"/>
              </a:solidFill>
            </a:rPr>
            <a:t>FALL C: : Aus linksschief  – normal verteilten Zahlen in der Urne (Modus xs &gt; arithmetischer Mittelwert xam, mit  ys = (1 – (e^ -1))</a:t>
          </a:r>
        </a:p>
        <a:p>
          <a:r>
            <a:rPr lang="de-CH" sz="1000" b="1" baseline="0">
              <a:solidFill>
                <a:schemeClr val="bg1"/>
              </a:solidFill>
            </a:rPr>
            <a:t>FALL D: Aus rechtsschief – LOG.normal verteilten Zahlen in der Urne (Modus xs &lt; arithmetischer Mittelwert xam; mit ys für LOG.Zahlen = 0,5</a:t>
          </a:r>
        </a:p>
        <a:p>
          <a:r>
            <a:rPr lang="de-CH" sz="1000" b="1" baseline="0">
              <a:solidFill>
                <a:schemeClr val="bg1"/>
              </a:solidFill>
            </a:rPr>
            <a:t>FALL E: Aus linksschief – EXP.normal verteilten Zahlen in der Urne (Modus xs &gt; arithmetischer Mittelwert xam; mit ys für EXP.Zahlen = 0,5</a:t>
          </a:r>
        </a:p>
        <a:p>
          <a:r>
            <a:rPr lang="de-CH" sz="1000" b="1" baseline="0">
              <a:solidFill>
                <a:schemeClr val="bg1"/>
              </a:solidFill>
            </a:rPr>
            <a:t>FALL GV: Aus  gleich - verteilten Zahlen in der Urne (Modus xs </a:t>
          </a:r>
          <a:r>
            <a:rPr lang="de-CH" sz="1000" b="1" baseline="0">
              <a:solidFill>
                <a:schemeClr val="bg1"/>
              </a:solidFill>
              <a:latin typeface="Calibri" panose="020F0502020204030204" pitchFamily="34" charset="0"/>
              <a:cs typeface="Calibri" panose="020F0502020204030204" pitchFamily="34" charset="0"/>
            </a:rPr>
            <a:t>≡</a:t>
          </a:r>
          <a:r>
            <a:rPr lang="de-CH" sz="1000" b="1" baseline="0">
              <a:solidFill>
                <a:schemeClr val="bg1"/>
              </a:solidFill>
            </a:rPr>
            <a:t> arithmetischer Mittelwert xam; mit ys für reale Zahlen = 0,5*[(n+1)/n]</a:t>
          </a:r>
        </a:p>
        <a:p>
          <a:r>
            <a:rPr lang="de-CH" sz="1000" b="1" baseline="0">
              <a:solidFill>
                <a:schemeClr val="bg1"/>
              </a:solidFill>
            </a:rPr>
            <a:t>Merke: ys ist die bezogene Summenhäufigkeit an der Stelle xs;</a:t>
          </a:r>
          <a:r>
            <a:rPr lang="de-CH" sz="1000" b="1" baseline="0">
              <a:solidFill>
                <a:schemeClr val="bg1"/>
              </a:solidFill>
              <a:latin typeface="Calibri" panose="020F0502020204030204" pitchFamily="34" charset="0"/>
              <a:cs typeface="Calibri" panose="020F0502020204030204" pitchFamily="34" charset="0"/>
            </a:rPr>
            <a:t> ferner: xi für LOG.normal = ln(xi); xi für EXP.normal = exp(xi/xMAX)</a:t>
          </a:r>
          <a:endParaRPr lang="de-CH" sz="1000" b="1" baseline="0">
            <a:solidFill>
              <a:schemeClr val="bg1"/>
            </a:solidFill>
          </a:endParaRPr>
        </a:p>
        <a:p>
          <a:endParaRPr lang="de-CH" sz="1000" b="1" baseline="0">
            <a:solidFill>
              <a:schemeClr val="bg1"/>
            </a:solidFill>
          </a:endParaRPr>
        </a:p>
        <a:p>
          <a:r>
            <a:rPr lang="de-CH" sz="1100" b="1" baseline="0">
              <a:solidFill>
                <a:schemeClr val="bg1"/>
              </a:solidFill>
            </a:rPr>
            <a:t>Neben den tabellierten Zufallszahlen werden auf der Resultatseite zwei Korrelationskoeffizienten angegeben:</a:t>
          </a:r>
        </a:p>
        <a:p>
          <a:r>
            <a:rPr lang="de-CH" sz="1100" b="1" baseline="0">
              <a:solidFill>
                <a:schemeClr val="bg1"/>
              </a:solidFill>
            </a:rPr>
            <a:t>Zum einen  als Mass für die "Genauigkeit" der gezogenen  ungerundeten, "exakten" Werte bezüglich der betreffenden Summenfunktion</a:t>
          </a:r>
        </a:p>
        <a:p>
          <a:r>
            <a:rPr lang="de-CH" sz="1100" b="1" baseline="0">
              <a:solidFill>
                <a:schemeClr val="bg1"/>
              </a:solidFill>
            </a:rPr>
            <a:t>Zum andern dasselbe für die gerundeten ganzen Zahlen. Weitere Erläuterungen dazu siehe Blatt ganz rechts.</a:t>
          </a:r>
        </a:p>
        <a:p>
          <a:r>
            <a:rPr lang="de-CH" sz="1100" b="1" baseline="0">
              <a:solidFill>
                <a:schemeClr val="bg1"/>
              </a:solidFill>
            </a:rPr>
            <a:t>Durch den  Umstand, dass die Entnahmegrenzen (b) gegenüber der Bandbreite der Urne (a) verkleinert werden können - aber natürlich nicht verkleinert werden müssen! - können dank bildlicher Darstellung zum Zahlenausdruck sehr differenzierte Verteilungen für die Ziehung von Zufallszahlen vorbereitet werden. Sollen mehr als 100 Zufallszahlen gezogen werden, ist für einen zusätzlichen Umgang  lediglich die Eingabezelle ZZ [J24] mit ergänzender Zahl zu aktivieren. Gundsätzlich generiert jede Neueingabe in Zelle [J24] nach entsprechendem Klick neue Zufallszahlen in der geforderten Anzahl. Sollen also für gewünschte 150 ZZ die "ersten 100" erhalten bleiben, empfiehlt es sich, zunächst die Resultatseite(n) zur kopieren und in ein separates Formular einzufügen. Erst danach sollten dann die fehlenden 50 ZZ zusätzlich abgerufen werden.</a:t>
          </a: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chemeClr val="bg1"/>
            </a:solidFill>
          </a:endParaRPr>
        </a:p>
        <a:p>
          <a:endParaRPr lang="de-CH" sz="1100" b="1" baseline="0">
            <a:solidFill>
              <a:srgbClr val="FF0000"/>
            </a:solidFill>
          </a:endParaRPr>
        </a:p>
      </xdr:txBody>
    </xdr:sp>
    <xdr:clientData/>
  </xdr:oneCellAnchor>
  <xdr:oneCellAnchor>
    <xdr:from>
      <xdr:col>10</xdr:col>
      <xdr:colOff>495300</xdr:colOff>
      <xdr:row>0</xdr:row>
      <xdr:rowOff>30480</xdr:rowOff>
    </xdr:from>
    <xdr:ext cx="7894320" cy="5431359"/>
    <xdr:sp macro="" textlink="">
      <xdr:nvSpPr>
        <xdr:cNvPr id="3" name="Textfeld 2">
          <a:extLst>
            <a:ext uri="{FF2B5EF4-FFF2-40B4-BE49-F238E27FC236}">
              <a16:creationId xmlns:a16="http://schemas.microsoft.com/office/drawing/2014/main" id="{680CAF35-FCFA-4025-BC86-64454D56EEBD}"/>
            </a:ext>
          </a:extLst>
        </xdr:cNvPr>
        <xdr:cNvSpPr txBox="1"/>
      </xdr:nvSpPr>
      <xdr:spPr>
        <a:xfrm>
          <a:off x="17663160" y="30480"/>
          <a:ext cx="7894320" cy="543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100" b="1">
              <a:solidFill>
                <a:schemeClr val="bg1"/>
              </a:solidFill>
              <a:effectLst/>
              <a:latin typeface="+mn-lt"/>
              <a:ea typeface="+mn-ea"/>
              <a:cs typeface="+mn-cs"/>
            </a:rPr>
            <a:t>ZUR «GENAUIGKEIT» DER IM DEFINIERTEN ENTNAHMEBEREICH AUS DER URNE GEZOGENEN ZUFALLSZAHLEN</a:t>
          </a:r>
        </a:p>
        <a:p>
          <a:endParaRPr lang="de-CH" sz="1100">
            <a:solidFill>
              <a:schemeClr val="bg1"/>
            </a:solidFill>
            <a:effectLst/>
            <a:latin typeface="+mn-lt"/>
            <a:ea typeface="+mn-ea"/>
            <a:cs typeface="+mn-cs"/>
          </a:endParaRPr>
        </a:p>
        <a:p>
          <a:r>
            <a:rPr lang="de-CH" sz="1100" b="1">
              <a:solidFill>
                <a:schemeClr val="bg1"/>
              </a:solidFill>
              <a:effectLst/>
              <a:latin typeface="+mn-lt"/>
              <a:ea typeface="+mn-ea"/>
              <a:cs typeface="+mn-cs"/>
            </a:rPr>
            <a:t>Unter «Genauigkeit» wird verstanden, wie nahe die Zufallszahlen bei der gewünschten Normverteilung (gleichverteilt, symmetrisch – normalverteilt, rechtsschief – normalverteilt, linksschief – normalverteilt, LOGnormal – verteilt oder EXPnormal – verteilt) liegen. Die Genauigkeit wird auf Grund folgender Überlegungen mittels eines Korrelationskoeffizienten beziffert.</a:t>
          </a:r>
        </a:p>
        <a:p>
          <a:r>
            <a:rPr lang="de-CH" sz="1100" b="1">
              <a:solidFill>
                <a:schemeClr val="bg1"/>
              </a:solidFill>
              <a:effectLst/>
              <a:latin typeface="+mn-lt"/>
              <a:ea typeface="+mn-ea"/>
              <a:cs typeface="+mn-cs"/>
            </a:rPr>
            <a:t>Prinzipiell werden die Zufallszahlen je nach gewünschter Funktion resp. Häufigkeitsverteilung so hergestellt, dass zunächst eine entsprechende Anzahl gleichverteilter Zufallszahlen generiert und der Grösse nach sortiert wird. Diese stellen gewissermassen die Summenhäufigkeitsverteilung der in gewünschter Normverteilung gesuchten Zufallswerte dar. Davon</a:t>
          </a:r>
          <a:r>
            <a:rPr lang="de-CH" sz="1100" b="1" baseline="0">
              <a:solidFill>
                <a:schemeClr val="bg1"/>
              </a:solidFill>
              <a:effectLst/>
              <a:latin typeface="+mn-lt"/>
              <a:ea typeface="+mn-ea"/>
              <a:cs typeface="+mn-cs"/>
            </a:rPr>
            <a:t> ausgehend berechnen sich je</a:t>
          </a:r>
          <a:r>
            <a:rPr lang="de-CH" sz="1100" b="1">
              <a:solidFill>
                <a:schemeClr val="bg1"/>
              </a:solidFill>
              <a:effectLst/>
              <a:latin typeface="+mn-lt"/>
              <a:ea typeface="+mn-ea"/>
              <a:cs typeface="+mn-cs"/>
            </a:rPr>
            <a:t> nach Funktion</a:t>
          </a:r>
          <a:r>
            <a:rPr lang="de-CH" sz="1100" b="1" baseline="0">
              <a:solidFill>
                <a:schemeClr val="bg1"/>
              </a:solidFill>
              <a:effectLst/>
              <a:latin typeface="+mn-lt"/>
              <a:ea typeface="+mn-ea"/>
              <a:cs typeface="+mn-cs"/>
            </a:rPr>
            <a:t> </a:t>
          </a:r>
          <a:r>
            <a:rPr lang="de-CH" sz="1100" b="1">
              <a:solidFill>
                <a:schemeClr val="bg1"/>
              </a:solidFill>
              <a:effectLst/>
              <a:latin typeface="+mn-lt"/>
              <a:ea typeface="+mn-ea"/>
              <a:cs typeface="+mn-cs"/>
            </a:rPr>
            <a:t>die gesuchten    x – Werte, welche zugleich die Zufallszahlen in der gewollten Verteilung darstellen. Die gesuchten Zufallszahlen werden somit stets durch Transformation aus einer zufälligen Gleichverteilung gewonnen.</a:t>
          </a:r>
        </a:p>
        <a:p>
          <a:endParaRPr lang="de-CH" sz="1100" b="1">
            <a:solidFill>
              <a:schemeClr val="bg1"/>
            </a:solidFill>
            <a:effectLst/>
            <a:latin typeface="+mn-lt"/>
            <a:ea typeface="+mn-ea"/>
            <a:cs typeface="+mn-cs"/>
          </a:endParaRPr>
        </a:p>
        <a:p>
          <a:r>
            <a:rPr lang="de-CH" sz="1100" b="1">
              <a:solidFill>
                <a:schemeClr val="bg1"/>
              </a:solidFill>
              <a:effectLst/>
              <a:latin typeface="+mn-lt"/>
              <a:ea typeface="+mn-ea"/>
              <a:cs typeface="+mn-cs"/>
            </a:rPr>
            <a:t>Wenn</a:t>
          </a:r>
          <a:r>
            <a:rPr lang="de-CH" sz="1100" b="1" baseline="0">
              <a:solidFill>
                <a:schemeClr val="bg1"/>
              </a:solidFill>
              <a:effectLst/>
              <a:latin typeface="+mn-lt"/>
              <a:ea typeface="+mn-ea"/>
              <a:cs typeface="+mn-cs"/>
            </a:rPr>
            <a:t> </a:t>
          </a:r>
          <a:r>
            <a:rPr lang="de-CH" sz="1100" b="1">
              <a:solidFill>
                <a:schemeClr val="bg1"/>
              </a:solidFill>
              <a:effectLst/>
              <a:latin typeface="+mn-lt"/>
              <a:ea typeface="+mn-ea"/>
              <a:cs typeface="+mn-cs"/>
            </a:rPr>
            <a:t>man also die «Genauigkeit» der benötigten Gleichverteilung quantifiziert, ist damit</a:t>
          </a:r>
          <a:r>
            <a:rPr lang="de-CH" sz="1100" b="1" baseline="0">
              <a:solidFill>
                <a:schemeClr val="bg1"/>
              </a:solidFill>
              <a:effectLst/>
              <a:latin typeface="+mn-lt"/>
              <a:ea typeface="+mn-ea"/>
              <a:cs typeface="+mn-cs"/>
            </a:rPr>
            <a:t> gleichzeitig </a:t>
          </a:r>
          <a:r>
            <a:rPr lang="de-CH" sz="1100" b="1">
              <a:solidFill>
                <a:schemeClr val="bg1"/>
              </a:solidFill>
              <a:effectLst/>
              <a:latin typeface="+mn-lt"/>
              <a:ea typeface="+mn-ea"/>
              <a:cs typeface="+mn-cs"/>
            </a:rPr>
            <a:t> die Genauigkeit für die aus Transformation gefundene Wunschverteilung gegeben. Es genügt demnach, die «Genauigkeit» der stets benötigten zufälligen Gleichverteilung über einen Korrelationskoeffizienten zu quantifizieren.</a:t>
          </a:r>
        </a:p>
        <a:p>
          <a:endParaRPr lang="de-CH" sz="1100" b="1">
            <a:solidFill>
              <a:schemeClr val="bg1"/>
            </a:solidFill>
            <a:effectLst/>
            <a:latin typeface="+mn-lt"/>
            <a:ea typeface="+mn-ea"/>
            <a:cs typeface="+mn-cs"/>
          </a:endParaRPr>
        </a:p>
        <a:p>
          <a:r>
            <a:rPr lang="de-CH" sz="1100" b="1">
              <a:solidFill>
                <a:schemeClr val="bg1"/>
              </a:solidFill>
              <a:effectLst/>
              <a:latin typeface="+mn-lt"/>
              <a:ea typeface="+mn-ea"/>
              <a:cs typeface="+mn-cs"/>
            </a:rPr>
            <a:t>Wenn für den FALL GV (Gleichverteilung) mit x1 und x99 laut Vorgaben die Bandbreite der Zahlen in der Urne vorgegeben ist, stellt darin x1 den kleinsten Wert in der Urne mit Unterschreitungshäufigkeit = 1%, und x99 den grössten Wert mit Unterschreitungshäufigkeit = 99% dar. Damit sind    zu der hier</a:t>
          </a:r>
          <a:r>
            <a:rPr lang="de-CH" sz="1100" b="1" baseline="0">
              <a:solidFill>
                <a:schemeClr val="bg1"/>
              </a:solidFill>
              <a:effectLst/>
              <a:latin typeface="+mn-lt"/>
              <a:ea typeface="+mn-ea"/>
              <a:cs typeface="+mn-cs"/>
            </a:rPr>
            <a:t> geltenden</a:t>
          </a:r>
          <a:r>
            <a:rPr lang="de-CH" sz="1100" b="1">
              <a:solidFill>
                <a:schemeClr val="bg1"/>
              </a:solidFill>
              <a:effectLst/>
              <a:latin typeface="+mn-lt"/>
              <a:ea typeface="+mn-ea"/>
              <a:cs typeface="+mn-cs"/>
            </a:rPr>
            <a:t> Summenfunktion y = A + B*x (lineares Wachstum, konstante Verteilungsdichte) der Konstantenterm A und der Regressionskoeffizient B zahlenmässig bestimmt. Damit lassen</a:t>
          </a:r>
          <a:r>
            <a:rPr lang="de-CH" sz="1100" b="1" baseline="0">
              <a:solidFill>
                <a:schemeClr val="bg1"/>
              </a:solidFill>
              <a:effectLst/>
              <a:latin typeface="+mn-lt"/>
              <a:ea typeface="+mn-ea"/>
              <a:cs typeface="+mn-cs"/>
            </a:rPr>
            <a:t> sich zunächst die theoretisch exakten y - Werte berechnen; und dann:</a:t>
          </a:r>
          <a:endParaRPr lang="de-CH" sz="1100" b="1">
            <a:solidFill>
              <a:schemeClr val="bg1"/>
            </a:solidFill>
            <a:effectLst/>
            <a:latin typeface="+mn-lt"/>
            <a:ea typeface="+mn-ea"/>
            <a:cs typeface="+mn-cs"/>
          </a:endParaRPr>
        </a:p>
        <a:p>
          <a:endParaRPr lang="de-CH" sz="1100" b="1">
            <a:solidFill>
              <a:schemeClr val="bg1"/>
            </a:solidFill>
            <a:effectLst/>
            <a:latin typeface="+mn-lt"/>
            <a:ea typeface="+mn-ea"/>
            <a:cs typeface="+mn-cs"/>
          </a:endParaRPr>
        </a:p>
        <a:p>
          <a:r>
            <a:rPr lang="de-CH" sz="1100" b="1">
              <a:solidFill>
                <a:schemeClr val="bg1"/>
              </a:solidFill>
              <a:effectLst/>
              <a:latin typeface="+mn-lt"/>
              <a:ea typeface="+mn-ea"/>
              <a:cs typeface="+mn-cs"/>
            </a:rPr>
            <a:t>Sind beispielsweise 50 Zufallswerte (Summenprozentwerte, sortiert) gezogen worden, resultieren aus diesen kaum jemals Umrechnungswerte für x, die genau ihrer Gleichverteilung entsprechen. Berechnet man also aus  den «falschen x- Werten» und «exakten y – Werten» (oder umgekehrt) den Korrelationskoeffizienten über alle 50 Zahlenpaare hinweg, so ist der Grad der Abweichung der gezogenen Zufallszahlen von der exakt richtigen Verteilung auch für alle aus Transformation gewonnen Zufallszahlen ausgewiesen. Die Aussage über die «Genauigkeit bezieht sich dabei grundsätzlich immer auf die Werte aus dem vorgegebenen «Entnahmebereich». «Entnahmebereich» und Bandbreite der Urne» können einander  auch gleichgesetzt werden.</a:t>
          </a:r>
        </a:p>
        <a:p>
          <a:r>
            <a:rPr lang="de-CH" sz="1100" b="1">
              <a:solidFill>
                <a:schemeClr val="bg1"/>
              </a:solidFill>
              <a:effectLst/>
              <a:latin typeface="+mn-lt"/>
              <a:ea typeface="+mn-ea"/>
              <a:cs typeface="+mn-cs"/>
            </a:rPr>
            <a:t> </a:t>
          </a:r>
        </a:p>
        <a:p>
          <a:r>
            <a:rPr lang="de-CH" sz="1100" b="1">
              <a:solidFill>
                <a:schemeClr val="bg1"/>
              </a:solidFill>
              <a:effectLst/>
              <a:latin typeface="+mn-lt"/>
              <a:ea typeface="+mn-ea"/>
              <a:cs typeface="+mn-cs"/>
            </a:rPr>
            <a:t> </a:t>
          </a:r>
        </a:p>
        <a:p>
          <a:r>
            <a:rPr lang="de-CH" sz="1100" b="1">
              <a:solidFill>
                <a:schemeClr val="bg1"/>
              </a:solidFill>
              <a:effectLst/>
              <a:latin typeface="+mn-lt"/>
              <a:ea typeface="+mn-ea"/>
              <a:cs typeface="+mn-cs"/>
            </a:rPr>
            <a:t>11.03.18 / Ba.</a:t>
          </a:r>
        </a:p>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60960</xdr:colOff>
      <xdr:row>0</xdr:row>
      <xdr:rowOff>167640</xdr:rowOff>
    </xdr:from>
    <xdr:ext cx="5684520" cy="8206740"/>
    <xdr:sp macro="" textlink="">
      <xdr:nvSpPr>
        <xdr:cNvPr id="3" name="Textfeld 2">
          <a:extLst>
            <a:ext uri="{FF2B5EF4-FFF2-40B4-BE49-F238E27FC236}">
              <a16:creationId xmlns:a16="http://schemas.microsoft.com/office/drawing/2014/main" id="{4B2F0C72-CC99-478F-B5E4-FA0C77E3004A}"/>
            </a:ext>
          </a:extLst>
        </xdr:cNvPr>
        <xdr:cNvSpPr txBox="1"/>
      </xdr:nvSpPr>
      <xdr:spPr>
        <a:xfrm>
          <a:off x="60960" y="167640"/>
          <a:ext cx="5684520" cy="820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1">
              <a:solidFill>
                <a:sysClr val="windowText" lastClr="000000"/>
              </a:solidFill>
            </a:rPr>
            <a:t>GESICHTSFELD – VERMESSUNG</a:t>
          </a:r>
        </a:p>
        <a:p>
          <a:r>
            <a:rPr lang="de-CH" sz="1100" b="1"/>
            <a:t>Die Gesichtsfelduntersuchung</a:t>
          </a:r>
          <a:r>
            <a:rPr lang="de-CH" sz="1100" b="1">
              <a:solidFill>
                <a:srgbClr val="FF0000"/>
              </a:solidFill>
            </a:rPr>
            <a:t>*</a:t>
          </a:r>
          <a:r>
            <a:rPr lang="de-CH" sz="1100" b="1"/>
            <a:t> ist eine Funktionsanalyse bei der gemessen wird, ob eventuelle Ausfälle oder Einschränkungen im Gesichtsfeld existieren. Die Untersuchung dauert mehrere Minuten. Der Patient befindet sich dafür meist in einem separaten ruhigen, dunklen Raum, um nicht vom Praxislärm abgelenkt zu werden. Dabei wird immer nur ein Auge untersucht, das andere wird währenddessen mit einer Augenklappe abgedeckt. Das Ergebnis der Gesichtsfelduntersuchung hängt sehr stark von der Mitarbeit und Konzentration des Patienten ab. Für den Patienten ist dieser Test häufig sehr ermüdend und zeitaufwendig, stellt jedoch die einzige Methode dar, die Sehfunktion aktiv zu messen. </a:t>
          </a:r>
        </a:p>
        <a:p>
          <a:pPr marL="0" marR="0" lvl="0" indent="0" defTabSz="914400" eaLnBrk="1" fontAlgn="auto" latinLnBrk="0" hangingPunct="1">
            <a:lnSpc>
              <a:spcPct val="100000"/>
            </a:lnSpc>
            <a:spcBef>
              <a:spcPts val="0"/>
            </a:spcBef>
            <a:spcAft>
              <a:spcPts val="0"/>
            </a:spcAft>
            <a:buClrTx/>
            <a:buSzTx/>
            <a:buFontTx/>
            <a:buNone/>
            <a:tabLst/>
            <a:defRPr/>
          </a:pPr>
          <a:r>
            <a:rPr lang="de-CH" sz="1100" b="1"/>
            <a:t>Bei jeder Gesichtsfelduntersuchung ist die aktive Mithilfe des Patienten gefordert. Während der gesamten Untersuchung fixiert der Patient einen Punkt in der Mitte eines Bildschirms oder einer Projektionsfläche. Erscheinende Teststimuli oder Lichtreize werden in zufälliger Reihenfolge an unterschiedlichen Positionen und in unterschiedlicher Intensität angezeigt. Wenn der Patient einen Leuchtreiz bemerkt, drückt er einen Signalknopf. Wird bei einem Leuchtreiz der Knopf nicht betätigt, wird zunächst die Intensität erhöht. Nimmt die Person den Punkt erneut nicht wahr, registriert der Computer einen Gesichtsfeldausfall an der Position und setzt an einer anderen Stelle im Gesichtsfeld fort. Das Messergebnis wird im Anschluss mit einer Datenbank standardisierter Normalbefunde verglichen und gibt für jede Testposition im Gesichtsfeld einen Wert an. </a:t>
          </a:r>
          <a:r>
            <a:rPr lang="de-CH" sz="1100" b="1">
              <a:solidFill>
                <a:schemeClr val="tx1"/>
              </a:solidFill>
              <a:effectLst/>
              <a:latin typeface="+mn-lt"/>
              <a:ea typeface="+mn-ea"/>
              <a:cs typeface="+mn-cs"/>
            </a:rPr>
            <a:t> </a:t>
          </a:r>
          <a:r>
            <a:rPr lang="de-CH" sz="1100" b="1" i="1">
              <a:solidFill>
                <a:srgbClr val="FF0000"/>
              </a:solidFill>
              <a:effectLst/>
              <a:latin typeface="+mn-lt"/>
              <a:ea typeface="+mn-ea"/>
              <a:cs typeface="+mn-cs"/>
            </a:rPr>
            <a:t>*Quelle: siehe unten.</a:t>
          </a:r>
          <a:endParaRPr lang="de-CH">
            <a:solidFill>
              <a:srgbClr val="FF0000"/>
            </a:solidFill>
            <a:effectLst/>
          </a:endParaRPr>
        </a:p>
        <a:p>
          <a:endParaRPr lang="de-CH" sz="1100" b="1"/>
        </a:p>
        <a:p>
          <a:r>
            <a:rPr lang="de-CH" sz="1100" b="1"/>
            <a:t>ANLASS UND ZIELSETZUNG</a:t>
          </a:r>
        </a:p>
        <a:p>
          <a:r>
            <a:rPr lang="de-CH" sz="1100" b="1"/>
            <a:t>Verschiedene Gründe können zu einer vorübergehenden oder bleibenden Gesichtsfeld – Einschränkung führen (Erkrankung, Verletzung, Hirnschlag). Die Einschränkung kann das Lesen behindern, das Gleichgewicht stören und häufig auch das Autofahren verbieten. Eine mindestens einmalige, professionelle Untersuchung gemäss kursiver Einleitung ist unabdingbar, um den Zustand der Schädigung zu erfassen. Allerdings ist der augenärztliche Untersuch aufwändig und auch relativ teuer. Ganz abgesehen davon, dass die betreffenden Institute sehr gut ausgelastet sind. Für den Patienten wäre es darum hilfreich, wenn er mittels eines «hausinternen Verfahrens» in der Lage wäre, in periodischen Abständen (täglich, wöchentlich, monatlich) allfällige relative Veränderungen seines Gesichtsfeldes zu erfassen. Da es zudem Meinungen gibt, wonach die im Kleinhirn liegende, geschädigte Bildverarbeitung durch häufige, sinngemässe Testwiederholung mit Selbstheileffekt stimuliert werden könne, wäre eine individuelle «hausinterne» Einrichtung mit entsprechender Zweckbestimmung hilfreich. Das vorliegende Excel – Programm ist auf persönliche Betroffenheit des Verfassers zurückzuführen.</a:t>
          </a:r>
        </a:p>
        <a:p>
          <a:endParaRPr lang="de-CH" sz="1100" b="1"/>
        </a:p>
        <a:p>
          <a:r>
            <a:rPr lang="de-CH" sz="1100" b="1"/>
            <a:t>EXCEL – PROGRAMM MIT INDIVIDUELLEN RANDBEDINGUNGEN</a:t>
          </a:r>
        </a:p>
        <a:p>
          <a:r>
            <a:rPr lang="de-CH" sz="1100" b="1"/>
            <a:t>Basierend auf dem Prinzip der zufälligen Verteilung von aufblitzenden Punkten gemäss «professioneller Untersuchung», liefert das vorliegende Excel – Programm für «hausinterne Nutzung» eine brauchbare Alternative wie folgt:</a:t>
          </a:r>
        </a:p>
        <a:p>
          <a:pPr marL="0" marR="0" lvl="0" indent="0" defTabSz="914400" eaLnBrk="1" fontAlgn="auto" latinLnBrk="0" hangingPunct="1">
            <a:lnSpc>
              <a:spcPct val="100000"/>
            </a:lnSpc>
            <a:spcBef>
              <a:spcPts val="0"/>
            </a:spcBef>
            <a:spcAft>
              <a:spcPts val="0"/>
            </a:spcAft>
            <a:buClrTx/>
            <a:buSzTx/>
            <a:buFontTx/>
            <a:buNone/>
            <a:tabLst/>
            <a:defRPr/>
          </a:pPr>
          <a:r>
            <a:rPr lang="de-CH" sz="1100" b="1"/>
            <a:t>Auf dem Desktop eines PC mit installiertem Excel - Office - Programm wird in fünf Spalten eine Bildfläche von 100 Zellen abgebildet. In deren Mitte findet sich ein gelb untermaltes Feld mit rotem Punkt, welcher vom Nutzer beim Selbst - Untersuch mit einem Auge fixiert werden muss. Wird gleichzeitig mit dem Cursor in einer der an die (ursprüngliche) Lilafläche angrenzenden grauen Zellen ein beliebiges Feld markiert und daraufhin ENTER gedrückt, erscheint nach dem Zufallsprinzip auf dem Bildschirm</a:t>
          </a:r>
          <a:r>
            <a:rPr lang="de-CH" sz="1100" b="1" baseline="0"/>
            <a:t> </a:t>
          </a:r>
          <a:r>
            <a:rPr lang="de-CH" sz="1100" b="1" i="1">
              <a:solidFill>
                <a:srgbClr val="0070C0"/>
              </a:solidFill>
              <a:effectLst/>
              <a:latin typeface="+mn-lt"/>
              <a:ea typeface="+mn-ea"/>
              <a:cs typeface="+mn-cs"/>
            </a:rPr>
            <a:t>meistens*</a:t>
          </a:r>
          <a:r>
            <a:rPr lang="de-CH" sz="1100" b="1">
              <a:solidFill>
                <a:srgbClr val="0070C0"/>
              </a:solidFill>
              <a:effectLst/>
              <a:latin typeface="+mn-lt"/>
              <a:ea typeface="+mn-ea"/>
              <a:cs typeface="+mn-cs"/>
            </a:rPr>
            <a:t> </a:t>
          </a:r>
          <a:r>
            <a:rPr lang="de-CH" sz="1100" b="1">
              <a:solidFill>
                <a:schemeClr val="tx1"/>
              </a:solidFill>
              <a:effectLst/>
              <a:latin typeface="+mn-lt"/>
              <a:ea typeface="+mn-ea"/>
              <a:cs typeface="+mn-cs"/>
            </a:rPr>
            <a:t>eine Zahl. </a:t>
          </a:r>
        </a:p>
        <a:p>
          <a:pPr marL="0" marR="0" lvl="0" indent="0" defTabSz="914400" eaLnBrk="1" fontAlgn="auto" latinLnBrk="0" hangingPunct="1">
            <a:lnSpc>
              <a:spcPct val="100000"/>
            </a:lnSpc>
            <a:spcBef>
              <a:spcPts val="0"/>
            </a:spcBef>
            <a:spcAft>
              <a:spcPts val="0"/>
            </a:spcAft>
            <a:buClrTx/>
            <a:buSzTx/>
            <a:buFontTx/>
            <a:buNone/>
            <a:tabLst/>
            <a:defRPr/>
          </a:pPr>
          <a:r>
            <a:rPr lang="de-CH" sz="1100" b="1" i="1">
              <a:solidFill>
                <a:srgbClr val="0070C0"/>
              </a:solidFill>
              <a:effectLst/>
              <a:latin typeface="+mn-lt"/>
              <a:ea typeface="+mn-ea"/>
              <a:cs typeface="+mn-cs"/>
            </a:rPr>
            <a:t>*Der Algorithmus sieht mit Absicht vor, dass in unregelmässigen Abständen nach ENTER auch mal keine Zufallszahl aufblinkt!</a:t>
          </a:r>
          <a:endParaRPr lang="de-CH">
            <a:solidFill>
              <a:srgbClr val="0070C0"/>
            </a:solidFill>
            <a:effectLst/>
          </a:endParaRPr>
        </a:p>
        <a:p>
          <a:endParaRPr lang="de-CH" sz="1100" b="1">
            <a:solidFill>
              <a:schemeClr val="tx1"/>
            </a:solidFill>
            <a:effectLst/>
            <a:latin typeface="+mn-lt"/>
            <a:ea typeface="+mn-ea"/>
            <a:cs typeface="+mn-cs"/>
          </a:endParaRPr>
        </a:p>
        <a:p>
          <a:endParaRPr lang="de-CH" sz="1100" b="1"/>
        </a:p>
        <a:p>
          <a:endParaRPr lang="de-CH" sz="1100"/>
        </a:p>
      </xdr:txBody>
    </xdr:sp>
    <xdr:clientData/>
  </xdr:oneCellAnchor>
  <xdr:oneCellAnchor>
    <xdr:from>
      <xdr:col>5</xdr:col>
      <xdr:colOff>205740</xdr:colOff>
      <xdr:row>1</xdr:row>
      <xdr:rowOff>114300</xdr:rowOff>
    </xdr:from>
    <xdr:ext cx="5570220" cy="7498078"/>
    <xdr:sp macro="" textlink="">
      <xdr:nvSpPr>
        <xdr:cNvPr id="4" name="Textfeld 3">
          <a:extLst>
            <a:ext uri="{FF2B5EF4-FFF2-40B4-BE49-F238E27FC236}">
              <a16:creationId xmlns:a16="http://schemas.microsoft.com/office/drawing/2014/main" id="{DD7554F0-2E0F-4A84-BEB7-8E1DDCEFA20E}"/>
            </a:ext>
          </a:extLst>
        </xdr:cNvPr>
        <xdr:cNvSpPr txBox="1"/>
      </xdr:nvSpPr>
      <xdr:spPr>
        <a:xfrm>
          <a:off x="6027420" y="297180"/>
          <a:ext cx="5570220" cy="7498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100" b="1">
              <a:solidFill>
                <a:schemeClr val="tx1"/>
              </a:solidFill>
              <a:effectLst/>
              <a:latin typeface="+mn-lt"/>
              <a:ea typeface="+mn-ea"/>
              <a:cs typeface="+mn-cs"/>
            </a:rPr>
            <a:t>Ist das Gesichtsfeld intakt, ist das Aufblenden dieser Zahl an jeder Stelle erkennbar. Die Zahl als solche muss jedoch nicht zwingend abgelesen werden können. Wird das Aufblitzen einer Zufallszahl nicht erkannt, liegt für diese Stelle dagegen eine Schädigung des Gesichtsfelds vor. Durch häufiges Wiederholen dieses Vorgangs gewinnt man schrittweise einen Überblick über den Zustand seines Gesichtsfeldes.</a:t>
          </a:r>
        </a:p>
        <a:p>
          <a:endParaRPr lang="de-CH" sz="1100" b="1">
            <a:solidFill>
              <a:schemeClr val="tx1"/>
            </a:solidFill>
            <a:effectLst/>
            <a:latin typeface="+mn-lt"/>
            <a:ea typeface="+mn-ea"/>
            <a:cs typeface="+mn-cs"/>
          </a:endParaRPr>
        </a:p>
        <a:p>
          <a:r>
            <a:rPr lang="de-CH" sz="1100" b="1">
              <a:solidFill>
                <a:schemeClr val="tx1"/>
              </a:solidFill>
              <a:effectLst/>
              <a:latin typeface="+mn-lt"/>
              <a:ea typeface="+mn-ea"/>
              <a:cs typeface="+mn-cs"/>
            </a:rPr>
            <a:t>INDIVIDUELLE MODIFIKATIONEN</a:t>
          </a:r>
        </a:p>
        <a:p>
          <a:r>
            <a:rPr lang="de-CH" sz="1100" b="1">
              <a:solidFill>
                <a:schemeClr val="tx1"/>
              </a:solidFill>
              <a:effectLst/>
              <a:latin typeface="+mn-lt"/>
              <a:ea typeface="+mn-ea"/>
              <a:cs typeface="+mn-cs"/>
            </a:rPr>
            <a:t>Den individuellen Bedürfnissen entsprechend kann das Display, bzw. die Ausgabe von Zufallszahlen, wie folgt angepasst werden:</a:t>
          </a:r>
        </a:p>
        <a:p>
          <a:r>
            <a:rPr lang="de-CH" sz="1100" b="1">
              <a:solidFill>
                <a:schemeClr val="tx1"/>
              </a:solidFill>
              <a:effectLst/>
              <a:latin typeface="+mn-lt"/>
              <a:ea typeface="+mn-ea"/>
              <a:cs typeface="+mn-cs"/>
            </a:rPr>
            <a:t>●Durch die Grösse und Farbe (kontrastreich / kontrastarm) der Zahlen</a:t>
          </a:r>
        </a:p>
        <a:p>
          <a:r>
            <a:rPr lang="de-CH" sz="1100" b="1">
              <a:solidFill>
                <a:schemeClr val="tx1"/>
              </a:solidFill>
              <a:effectLst/>
              <a:latin typeface="+mn-lt"/>
              <a:ea typeface="+mn-ea"/>
              <a:cs typeface="+mn-cs"/>
            </a:rPr>
            <a:t>●Durch die Lage einer Zahl innerhalb seiner Zelle (links, zentrisch, rechts)</a:t>
          </a:r>
        </a:p>
        <a:p>
          <a:r>
            <a:rPr lang="de-CH" sz="1100" b="1">
              <a:solidFill>
                <a:schemeClr val="tx1"/>
              </a:solidFill>
              <a:effectLst/>
              <a:latin typeface="+mn-lt"/>
              <a:ea typeface="+mn-ea"/>
              <a:cs typeface="+mn-cs"/>
            </a:rPr>
            <a:t>●Durch die Weite je Zellenspalte (vergrössern / verkleinern)</a:t>
          </a:r>
        </a:p>
        <a:p>
          <a:r>
            <a:rPr lang="de-CH" sz="1100" b="1">
              <a:solidFill>
                <a:schemeClr val="tx1"/>
              </a:solidFill>
              <a:effectLst/>
              <a:latin typeface="+mn-lt"/>
              <a:ea typeface="+mn-ea"/>
              <a:cs typeface="+mn-cs"/>
            </a:rPr>
            <a:t>●Durch die statistische Schwerpunktlage der aufblinkenden Zahlen auf dem Display: </a:t>
          </a:r>
        </a:p>
        <a:p>
          <a:r>
            <a:rPr lang="de-CH" sz="1100" b="1">
              <a:solidFill>
                <a:schemeClr val="tx1"/>
              </a:solidFill>
              <a:effectLst/>
              <a:latin typeface="+mn-lt"/>
              <a:ea typeface="+mn-ea"/>
              <a:cs typeface="+mn-cs"/>
            </a:rPr>
            <a:t>Wahl Fall A = zentrisch – normalverteilt; Fall B = rechtsschief – normalverteilt; Fall C = linksschief – normalverteilt; Fall D = rechtsschief – log.normalverteilt; Fall E = linksschief- exp.normalverteilt; Fall GV = gleichverteilt.</a:t>
          </a:r>
        </a:p>
        <a:p>
          <a:endParaRPr lang="de-CH" sz="1100" b="1">
            <a:solidFill>
              <a:schemeClr val="tx1"/>
            </a:solidFill>
            <a:effectLst/>
            <a:latin typeface="+mn-lt"/>
            <a:ea typeface="+mn-ea"/>
            <a:cs typeface="+mn-cs"/>
          </a:endParaRPr>
        </a:p>
        <a:p>
          <a:r>
            <a:rPr lang="de-CH" sz="1100" b="1">
              <a:solidFill>
                <a:schemeClr val="tx1"/>
              </a:solidFill>
              <a:effectLst/>
              <a:latin typeface="+mn-lt"/>
              <a:ea typeface="+mn-ea"/>
              <a:cs typeface="+mn-cs"/>
            </a:rPr>
            <a:t>Soll nach …zig Zufallszahlen ein Dokument über das persönliche Sichtfeld erstellt und ausgedruckt werden, bietet sich folgende einfache Möglichkeit an:</a:t>
          </a:r>
        </a:p>
        <a:p>
          <a:r>
            <a:rPr lang="de-CH" sz="1100" b="1">
              <a:solidFill>
                <a:schemeClr val="tx1"/>
              </a:solidFill>
              <a:effectLst/>
              <a:latin typeface="+mn-lt"/>
              <a:ea typeface="+mn-ea"/>
              <a:cs typeface="+mn-cs"/>
            </a:rPr>
            <a:t>Für jede aufblinkende Zufallszahl, die für den Nutzer mit «fixiertem Auge» sichtbar ist, wird deren Lila – Zellenfarbe belassen. Wird eine Zahl hingegen so nicht erkannt (bzw. erst nach freiem Überblick), so kann die betreffende Zelle mittels Kontextmenü einfach auf (bspw.) weiss umgestellt werden. Nach ….zig Abfragen wird so schrittweise ein (weisser) Flächenbereich geschaffen, welcher vorhandene Gesichtsfeld – Einschränkungen dokumentiert. Als «Spielversion» ist es zudem möglich, statt den zentralen Punkt auf dem Bildschirm jenen ganz rechts oder ganz links zu fixieren. Auf diese Weise kommt entsprechend ein linksseitiger, bzw. rechtsseitiger Gesichtsausfall sehr deutlich zum Ausdruck.</a:t>
          </a:r>
        </a:p>
        <a:p>
          <a:r>
            <a:rPr lang="de-CH" sz="1100" b="1">
              <a:solidFill>
                <a:schemeClr val="tx1"/>
              </a:solidFill>
              <a:effectLst/>
              <a:latin typeface="+mn-lt"/>
              <a:ea typeface="+mn-ea"/>
              <a:cs typeface="+mn-cs"/>
            </a:rPr>
            <a:t>Schliesslich kann das Programm dazu genutzt werden, sich erhoffte Verbesserungen anzutrainieren. Dabei wird versucht, die aufblinkenden Zufallszahlen möglichst schnell und laut abzulesen, wobei für diesen Fall das Kopfdrehen oder «Augenrollen» nach dem Aufblinken zwecks Aufsuchen der Zahl auf dem Display erlaubt ist. </a:t>
          </a:r>
        </a:p>
        <a:p>
          <a:r>
            <a:rPr lang="de-CH" sz="1100" b="1">
              <a:solidFill>
                <a:schemeClr val="tx1"/>
              </a:solidFill>
              <a:effectLst/>
              <a:latin typeface="+mn-lt"/>
              <a:ea typeface="+mn-ea"/>
              <a:cs typeface="+mn-cs"/>
            </a:rPr>
            <a:t> </a:t>
          </a:r>
        </a:p>
        <a:p>
          <a:r>
            <a:rPr lang="de-CH" sz="1100" b="1">
              <a:solidFill>
                <a:schemeClr val="tx1"/>
              </a:solidFill>
              <a:effectLst/>
              <a:latin typeface="+mn-lt"/>
              <a:ea typeface="+mn-ea"/>
              <a:cs typeface="+mn-cs"/>
            </a:rPr>
            <a:t>NUTZUNG UND BEDIENUNG</a:t>
          </a:r>
        </a:p>
        <a:p>
          <a:r>
            <a:rPr lang="de-CH" sz="1100" b="1">
              <a:solidFill>
                <a:schemeClr val="tx1"/>
              </a:solidFill>
              <a:effectLst/>
              <a:latin typeface="+mn-lt"/>
              <a:ea typeface="+mn-ea"/>
              <a:cs typeface="+mn-cs"/>
            </a:rPr>
            <a:t>Das Programm GESICHTSFELD – VERMESSUNG ist unentgeltlich, setzt jedoch voraus, dass auf dem  Home – PC das Microsoft – EXCEL – Office - Programm installiert ist. Die Interpretation der Ergebnisse ist ausschliesslich Sache des Anwenders. </a:t>
          </a:r>
        </a:p>
        <a:p>
          <a:r>
            <a:rPr lang="de-CH" sz="1100" b="1">
              <a:solidFill>
                <a:schemeClr val="tx1"/>
              </a:solidFill>
              <a:effectLst/>
              <a:latin typeface="+mn-lt"/>
              <a:ea typeface="+mn-ea"/>
              <a:cs typeface="+mn-cs"/>
            </a:rPr>
            <a:t>Das File muss einmalig vom Internet heruntergeladen, und für künftige Nutzung lokal gespeichert </a:t>
          </a:r>
          <a:r>
            <a:rPr lang="de-CH" sz="1100" b="1">
              <a:solidFill>
                <a:srgbClr val="FF0000"/>
              </a:solidFill>
              <a:effectLst/>
              <a:latin typeface="+mn-lt"/>
              <a:ea typeface="+mn-ea"/>
              <a:cs typeface="+mn-cs"/>
            </a:rPr>
            <a:t>und dabei via Kontextmenü erneut "schreibgeschützt" werden</a:t>
          </a:r>
          <a:r>
            <a:rPr lang="de-CH" sz="1100" b="1">
              <a:solidFill>
                <a:schemeClr val="tx1"/>
              </a:solidFill>
              <a:effectLst/>
              <a:latin typeface="+mn-lt"/>
              <a:ea typeface="+mn-ea"/>
              <a:cs typeface="+mn-cs"/>
            </a:rPr>
            <a:t>. Auf</a:t>
          </a:r>
          <a:r>
            <a:rPr lang="de-CH" sz="1100" b="1" baseline="0">
              <a:solidFill>
                <a:schemeClr val="tx1"/>
              </a:solidFill>
              <a:effectLst/>
              <a:latin typeface="+mn-lt"/>
              <a:ea typeface="+mn-ea"/>
              <a:cs typeface="+mn-cs"/>
            </a:rPr>
            <a:t> eine generelle Blattsicherung mittels Paswort wurde hingegen verzichtet.</a:t>
          </a:r>
          <a:r>
            <a:rPr lang="de-CH" sz="1100" b="1">
              <a:solidFill>
                <a:schemeClr val="tx1"/>
              </a:solidFill>
              <a:effectLst/>
              <a:latin typeface="+mn-lt"/>
              <a:ea typeface="+mn-ea"/>
              <a:cs typeface="+mn-cs"/>
            </a:rPr>
            <a:t> Dadurch können  Veränderungen für individuellen Bedarf «pro Sitzung» und Arbeitsblatt gemäss nachstehender</a:t>
          </a:r>
          <a:r>
            <a:rPr lang="de-CH" sz="1100" b="1" baseline="0">
              <a:solidFill>
                <a:schemeClr val="tx1"/>
              </a:solidFill>
              <a:effectLst/>
              <a:latin typeface="+mn-lt"/>
              <a:ea typeface="+mn-ea"/>
              <a:cs typeface="+mn-cs"/>
            </a:rPr>
            <a:t> </a:t>
          </a:r>
          <a:r>
            <a:rPr lang="de-CH" sz="1100" b="1">
              <a:solidFill>
                <a:schemeClr val="tx1"/>
              </a:solidFill>
              <a:effectLst/>
              <a:latin typeface="+mn-lt"/>
              <a:ea typeface="+mn-ea"/>
              <a:cs typeface="+mn-cs"/>
            </a:rPr>
            <a:t> Aufzählung vorgenommen werden. </a:t>
          </a:r>
        </a:p>
        <a:p>
          <a:endParaRPr lang="de-CH" sz="1100"/>
        </a:p>
      </xdr:txBody>
    </xdr:sp>
    <xdr:clientData/>
  </xdr:oneCellAnchor>
  <xdr:oneCellAnchor>
    <xdr:from>
      <xdr:col>11</xdr:col>
      <xdr:colOff>243840</xdr:colOff>
      <xdr:row>1</xdr:row>
      <xdr:rowOff>121920</xdr:rowOff>
    </xdr:from>
    <xdr:ext cx="5189220" cy="3364639"/>
    <xdr:sp macro="" textlink="">
      <xdr:nvSpPr>
        <xdr:cNvPr id="5" name="Textfeld 4">
          <a:extLst>
            <a:ext uri="{FF2B5EF4-FFF2-40B4-BE49-F238E27FC236}">
              <a16:creationId xmlns:a16="http://schemas.microsoft.com/office/drawing/2014/main" id="{975BBCF5-96D9-4A62-8B8A-4E62DA0EE8AA}"/>
            </a:ext>
          </a:extLst>
        </xdr:cNvPr>
        <xdr:cNvSpPr txBox="1"/>
      </xdr:nvSpPr>
      <xdr:spPr>
        <a:xfrm>
          <a:off x="11955780" y="304800"/>
          <a:ext cx="5189220" cy="3364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100" b="1">
              <a:solidFill>
                <a:schemeClr val="tx1"/>
              </a:solidFill>
              <a:effectLst/>
              <a:latin typeface="+mn-lt"/>
              <a:ea typeface="+mn-ea"/>
              <a:cs typeface="+mn-cs"/>
            </a:rPr>
            <a:t>Es sind folgende Festlegungen veränderbar:</a:t>
          </a:r>
        </a:p>
        <a:p>
          <a:endParaRPr lang="de-CH" sz="1100" b="1">
            <a:solidFill>
              <a:schemeClr val="tx1"/>
            </a:solidFill>
            <a:effectLst/>
            <a:latin typeface="+mn-lt"/>
            <a:ea typeface="+mn-ea"/>
            <a:cs typeface="+mn-cs"/>
          </a:endParaRPr>
        </a:p>
        <a:p>
          <a:r>
            <a:rPr lang="de-CH" sz="1100" b="1">
              <a:solidFill>
                <a:schemeClr val="tx1"/>
              </a:solidFill>
              <a:effectLst/>
              <a:latin typeface="+mn-lt"/>
              <a:ea typeface="+mn-ea"/>
              <a:cs typeface="+mn-cs"/>
            </a:rPr>
            <a:t>●Die lila Hintergrundfarbe einzelner Zellen kann nach markieren mittels Kontextmenü verändert, bzw. auf weiss gesetzt werden.</a:t>
          </a:r>
        </a:p>
        <a:p>
          <a:r>
            <a:rPr lang="de-CH" sz="1100" b="1">
              <a:solidFill>
                <a:schemeClr val="tx1"/>
              </a:solidFill>
              <a:effectLst/>
              <a:latin typeface="+mn-lt"/>
              <a:ea typeface="+mn-ea"/>
              <a:cs typeface="+mn-cs"/>
            </a:rPr>
            <a:t>●Die Breite einer bestimmten Zellenspalte (z.B. Spalte C) kann in bekannter Weise «gezogen» oder «gestaucht» werden. Damit wird die Testaufgabe / Lesbarkeit peripherer Zufallszahlen verändert.</a:t>
          </a:r>
          <a:endParaRPr lang="de-CH" sz="1100" b="1">
            <a:solidFill>
              <a:srgbClr val="FF0000"/>
            </a:solidFill>
            <a:effectLst/>
            <a:latin typeface="+mn-lt"/>
            <a:ea typeface="+mn-ea"/>
            <a:cs typeface="+mn-cs"/>
          </a:endParaRPr>
        </a:p>
        <a:p>
          <a:r>
            <a:rPr lang="de-CH" sz="1100" b="1">
              <a:solidFill>
                <a:schemeClr val="tx1"/>
              </a:solidFill>
              <a:effectLst/>
              <a:latin typeface="+mn-lt"/>
              <a:ea typeface="+mn-ea"/>
              <a:cs typeface="+mn-cs"/>
            </a:rPr>
            <a:t>●Durch markieren und mittels Kontextmenü kann das Aufblitzen der Zufallszahl innerhalb jeder beliebigen Zelle   entweder links, mittig oder rechts vorgegeben werden. Auch hiermit wird der Schwierigkeitsgrad für den Nutzer beeinflusst.</a:t>
          </a:r>
        </a:p>
        <a:p>
          <a:r>
            <a:rPr lang="de-CH" sz="1100" b="1">
              <a:solidFill>
                <a:schemeClr val="tx1"/>
              </a:solidFill>
              <a:effectLst/>
              <a:latin typeface="+mn-lt"/>
              <a:ea typeface="+mn-ea"/>
              <a:cs typeface="+mn-cs"/>
            </a:rPr>
            <a:t>●Nach dem gleichen Vorgehen können schliesslich die Grösse der Zufallszahlen und / oder deren (Kontrast -) Farbe individuell festgelegt, und damit wiederum der Schwierigkeitsgrad für das «Erkennen» oder «Ablesen» gesteuert werden.</a:t>
          </a:r>
        </a:p>
        <a:p>
          <a:r>
            <a:rPr lang="de-CH" sz="1100" b="1">
              <a:solidFill>
                <a:schemeClr val="tx1"/>
              </a:solidFill>
              <a:effectLst/>
              <a:latin typeface="+mn-lt"/>
              <a:ea typeface="+mn-ea"/>
              <a:cs typeface="+mn-cs"/>
            </a:rPr>
            <a:t>●Schliesslich kann mit der Programmwahl unten: «Fall A bis Fall GV» über die statistische Verteilung der Zufallszahlen Einfluss auf die Testanordnung genommen werden.</a:t>
          </a:r>
        </a:p>
        <a:p>
          <a:r>
            <a:rPr lang="de-CH" sz="1100" b="1">
              <a:solidFill>
                <a:schemeClr val="tx1"/>
              </a:solidFill>
              <a:effectLst/>
              <a:latin typeface="+mn-lt"/>
              <a:ea typeface="+mn-ea"/>
              <a:cs typeface="+mn-cs"/>
            </a:rPr>
            <a:t> </a:t>
          </a:r>
        </a:p>
        <a:p>
          <a:r>
            <a:rPr lang="de-CH" sz="1100" b="1">
              <a:solidFill>
                <a:schemeClr val="tx1"/>
              </a:solidFill>
              <a:effectLst/>
              <a:latin typeface="+mn-lt"/>
              <a:ea typeface="+mn-ea"/>
              <a:cs typeface="+mn-cs"/>
            </a:rPr>
            <a:t>Februar 2019/Ba</a:t>
          </a:r>
        </a:p>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15240</xdr:rowOff>
    </xdr:from>
    <xdr:to>
      <xdr:col>3</xdr:col>
      <xdr:colOff>2392680</xdr:colOff>
      <xdr:row>20</xdr:row>
      <xdr:rowOff>129540</xdr:rowOff>
    </xdr:to>
    <xdr:graphicFrame macro="">
      <xdr:nvGraphicFramePr>
        <xdr:cNvPr id="2" name="Diagramm 1">
          <a:extLst>
            <a:ext uri="{FF2B5EF4-FFF2-40B4-BE49-F238E27FC236}">
              <a16:creationId xmlns:a16="http://schemas.microsoft.com/office/drawing/2014/main" id="{C0432CD0-9416-49D3-BF91-AD9A09DB8B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2</xdr:row>
      <xdr:rowOff>7620</xdr:rowOff>
    </xdr:from>
    <xdr:to>
      <xdr:col>3</xdr:col>
      <xdr:colOff>2225040</xdr:colOff>
      <xdr:row>20</xdr:row>
      <xdr:rowOff>129540</xdr:rowOff>
    </xdr:to>
    <xdr:graphicFrame macro="">
      <xdr:nvGraphicFramePr>
        <xdr:cNvPr id="4" name="Diagramm 3">
          <a:extLst>
            <a:ext uri="{FF2B5EF4-FFF2-40B4-BE49-F238E27FC236}">
              <a16:creationId xmlns:a16="http://schemas.microsoft.com/office/drawing/2014/main" id="{B643F0CB-1E6E-4D43-946C-7BC7CFE261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1</xdr:row>
      <xdr:rowOff>224790</xdr:rowOff>
    </xdr:from>
    <xdr:to>
      <xdr:col>3</xdr:col>
      <xdr:colOff>1463040</xdr:colOff>
      <xdr:row>20</xdr:row>
      <xdr:rowOff>144780</xdr:rowOff>
    </xdr:to>
    <xdr:graphicFrame macro="">
      <xdr:nvGraphicFramePr>
        <xdr:cNvPr id="8" name="Diagramm 7">
          <a:extLst>
            <a:ext uri="{FF2B5EF4-FFF2-40B4-BE49-F238E27FC236}">
              <a16:creationId xmlns:a16="http://schemas.microsoft.com/office/drawing/2014/main" id="{47A0A191-2D42-432E-9608-2BBFA74BD8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2</xdr:row>
      <xdr:rowOff>64770</xdr:rowOff>
    </xdr:from>
    <xdr:to>
      <xdr:col>3</xdr:col>
      <xdr:colOff>1668780</xdr:colOff>
      <xdr:row>20</xdr:row>
      <xdr:rowOff>121920</xdr:rowOff>
    </xdr:to>
    <xdr:graphicFrame macro="">
      <xdr:nvGraphicFramePr>
        <xdr:cNvPr id="2" name="Diagramm 1">
          <a:extLst>
            <a:ext uri="{FF2B5EF4-FFF2-40B4-BE49-F238E27FC236}">
              <a16:creationId xmlns:a16="http://schemas.microsoft.com/office/drawing/2014/main" id="{935E26EA-DB0D-4BC4-ABE7-C7D4BDA249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45720</xdr:colOff>
      <xdr:row>1</xdr:row>
      <xdr:rowOff>220980</xdr:rowOff>
    </xdr:from>
    <xdr:to>
      <xdr:col>3</xdr:col>
      <xdr:colOff>1950720</xdr:colOff>
      <xdr:row>20</xdr:row>
      <xdr:rowOff>160020</xdr:rowOff>
    </xdr:to>
    <xdr:graphicFrame macro="">
      <xdr:nvGraphicFramePr>
        <xdr:cNvPr id="3" name="Diagramm 2">
          <a:extLst>
            <a:ext uri="{FF2B5EF4-FFF2-40B4-BE49-F238E27FC236}">
              <a16:creationId xmlns:a16="http://schemas.microsoft.com/office/drawing/2014/main" id="{E9DE243E-A694-4B2B-B015-2E0677BA9C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ugenwissen.de/untersuchungen/gesichtsfelduntersuchung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8"/>
  <sheetViews>
    <sheetView workbookViewId="0">
      <selection activeCell="I9" sqref="I9"/>
    </sheetView>
  </sheetViews>
  <sheetFormatPr baseColWidth="10" defaultRowHeight="14.4" x14ac:dyDescent="0.3"/>
  <cols>
    <col min="1" max="1" width="20.109375" style="74" customWidth="1"/>
    <col min="2" max="2" width="17.44140625" style="74" customWidth="1"/>
    <col min="3" max="3" width="17.109375" style="74" customWidth="1"/>
    <col min="4" max="4" width="19.21875" style="74" customWidth="1"/>
    <col min="5" max="5" width="19.33203125" style="74" customWidth="1"/>
    <col min="6" max="6" width="14.21875" style="74" customWidth="1"/>
    <col min="7" max="7" width="17.6640625" style="74" customWidth="1"/>
    <col min="8" max="8" width="7.44140625" style="74" customWidth="1"/>
    <col min="9" max="9" width="54" style="74" customWidth="1"/>
    <col min="10" max="10" width="63.77734375" style="74" customWidth="1"/>
    <col min="11" max="11" width="8.109375" style="74" customWidth="1"/>
    <col min="12" max="12" width="115.44140625" style="74" customWidth="1"/>
    <col min="13" max="13" width="83.44140625" style="74" customWidth="1"/>
    <col min="14" max="14" width="72.109375" style="74" customWidth="1"/>
    <col min="15" max="16384" width="11.5546875" style="74"/>
  </cols>
  <sheetData>
    <row r="1" spans="1:10" ht="21.6" customHeight="1" x14ac:dyDescent="0.4">
      <c r="A1" s="71" t="s">
        <v>133</v>
      </c>
      <c r="B1" s="72"/>
      <c r="C1" s="72"/>
      <c r="D1" s="72"/>
      <c r="E1" s="73"/>
      <c r="F1" s="73"/>
      <c r="G1" s="73"/>
      <c r="H1" s="78" t="s">
        <v>20</v>
      </c>
      <c r="I1" s="80" t="s">
        <v>0</v>
      </c>
      <c r="J1" s="77" t="s">
        <v>1</v>
      </c>
    </row>
    <row r="2" spans="1:10" ht="21.6" customHeight="1" x14ac:dyDescent="0.4">
      <c r="A2" s="71" t="s">
        <v>132</v>
      </c>
      <c r="B2" s="73"/>
      <c r="C2" s="73"/>
      <c r="D2" s="73"/>
      <c r="E2" s="72"/>
      <c r="F2" s="72"/>
      <c r="G2" s="72"/>
      <c r="H2" s="78"/>
      <c r="I2" s="78"/>
      <c r="J2" s="77"/>
    </row>
    <row r="3" spans="1:10" x14ac:dyDescent="0.3">
      <c r="G3" s="75"/>
      <c r="H3" s="92"/>
      <c r="I3" s="78"/>
      <c r="J3" s="78"/>
    </row>
    <row r="4" spans="1:10" x14ac:dyDescent="0.3">
      <c r="A4" s="76"/>
      <c r="B4" s="76"/>
      <c r="C4" s="145"/>
      <c r="D4" s="144"/>
      <c r="E4" s="144"/>
      <c r="F4" s="144"/>
      <c r="G4" s="144"/>
      <c r="H4" s="78" t="s">
        <v>2</v>
      </c>
      <c r="I4" s="80" t="s">
        <v>39</v>
      </c>
      <c r="J4" s="77" t="s">
        <v>46</v>
      </c>
    </row>
    <row r="5" spans="1:10" x14ac:dyDescent="0.3">
      <c r="A5" s="73"/>
      <c r="B5" s="73"/>
      <c r="C5" s="144"/>
      <c r="D5" s="144"/>
      <c r="E5" s="144"/>
      <c r="F5" s="144"/>
      <c r="G5" s="144"/>
      <c r="H5" s="78" t="s">
        <v>3</v>
      </c>
      <c r="I5" s="80" t="s">
        <v>40</v>
      </c>
      <c r="J5" s="77" t="s">
        <v>47</v>
      </c>
    </row>
    <row r="6" spans="1:10" x14ac:dyDescent="0.3">
      <c r="A6" s="1"/>
      <c r="B6" s="1"/>
      <c r="C6" s="79"/>
      <c r="E6" s="79"/>
      <c r="F6" s="79"/>
      <c r="G6" s="79"/>
      <c r="H6" s="78" t="s">
        <v>4</v>
      </c>
      <c r="I6" s="80" t="s">
        <v>41</v>
      </c>
      <c r="J6" s="77" t="s">
        <v>48</v>
      </c>
    </row>
    <row r="7" spans="1:10" x14ac:dyDescent="0.3">
      <c r="A7" s="1"/>
      <c r="B7" s="1"/>
      <c r="C7" s="79"/>
      <c r="E7" s="79"/>
      <c r="F7" s="79"/>
      <c r="G7" s="79"/>
      <c r="H7" s="78" t="s">
        <v>7</v>
      </c>
      <c r="I7" s="80" t="s">
        <v>43</v>
      </c>
      <c r="J7" s="77" t="s">
        <v>49</v>
      </c>
    </row>
    <row r="8" spans="1:10" x14ac:dyDescent="0.3">
      <c r="A8" s="1"/>
      <c r="B8" s="1"/>
      <c r="C8" s="79"/>
      <c r="E8" s="79"/>
      <c r="F8" s="79"/>
      <c r="G8" s="79"/>
      <c r="H8" s="78" t="s">
        <v>8</v>
      </c>
      <c r="I8" s="80" t="s">
        <v>42</v>
      </c>
      <c r="J8" s="77" t="s">
        <v>54</v>
      </c>
    </row>
    <row r="9" spans="1:10" x14ac:dyDescent="0.3">
      <c r="A9" s="1"/>
      <c r="B9" s="1"/>
      <c r="C9" s="79"/>
      <c r="E9" s="79"/>
      <c r="F9" s="79"/>
      <c r="G9" s="79"/>
      <c r="H9" s="78" t="s">
        <v>45</v>
      </c>
      <c r="I9" s="80" t="s">
        <v>44</v>
      </c>
      <c r="J9" s="77" t="s">
        <v>53</v>
      </c>
    </row>
    <row r="10" spans="1:10" x14ac:dyDescent="0.3">
      <c r="A10" s="1"/>
      <c r="B10" s="1"/>
      <c r="C10" s="79"/>
      <c r="E10" s="79"/>
      <c r="F10" s="79"/>
      <c r="G10" s="79"/>
      <c r="H10" s="92"/>
      <c r="I10" s="92"/>
      <c r="J10" s="92"/>
    </row>
    <row r="11" spans="1:10" x14ac:dyDescent="0.3">
      <c r="A11" s="1"/>
      <c r="B11" s="1"/>
      <c r="C11" s="79"/>
      <c r="E11" s="79"/>
      <c r="F11" s="79"/>
      <c r="G11" s="79"/>
      <c r="H11" s="77" t="s">
        <v>153</v>
      </c>
      <c r="I11" s="78"/>
      <c r="J11" s="78"/>
    </row>
    <row r="12" spans="1:10" x14ac:dyDescent="0.3">
      <c r="A12" s="1"/>
      <c r="B12" s="1"/>
      <c r="C12" s="79"/>
      <c r="E12" s="79"/>
      <c r="F12" s="79"/>
      <c r="G12" s="79"/>
      <c r="H12" s="77" t="s">
        <v>32</v>
      </c>
      <c r="I12" s="78"/>
      <c r="J12" s="78"/>
    </row>
    <row r="13" spans="1:10" x14ac:dyDescent="0.3">
      <c r="A13" s="1"/>
      <c r="B13" s="1"/>
      <c r="C13" s="79"/>
      <c r="E13" s="79"/>
      <c r="F13" s="79"/>
      <c r="G13" s="79"/>
      <c r="H13" s="77" t="s">
        <v>120</v>
      </c>
      <c r="I13" s="78"/>
      <c r="J13" s="78"/>
    </row>
    <row r="14" spans="1:10" x14ac:dyDescent="0.3">
      <c r="A14" s="1"/>
      <c r="B14" s="1"/>
      <c r="C14" s="79"/>
      <c r="E14" s="79"/>
      <c r="F14" s="79"/>
      <c r="G14" s="79"/>
      <c r="H14" s="77" t="s">
        <v>154</v>
      </c>
      <c r="I14" s="78"/>
      <c r="J14" s="78"/>
    </row>
    <row r="15" spans="1:10" x14ac:dyDescent="0.3">
      <c r="A15" s="1"/>
      <c r="B15" s="1"/>
      <c r="C15" s="79"/>
      <c r="E15" s="79"/>
      <c r="F15" s="79"/>
      <c r="G15" s="79"/>
      <c r="H15" s="77" t="s">
        <v>121</v>
      </c>
      <c r="I15" s="77"/>
      <c r="J15" s="77"/>
    </row>
    <row r="16" spans="1:10" x14ac:dyDescent="0.3">
      <c r="A16" s="1"/>
      <c r="B16" s="1"/>
      <c r="C16" s="79"/>
      <c r="E16" s="79"/>
      <c r="F16" s="79"/>
      <c r="G16" s="79"/>
      <c r="H16" s="77"/>
      <c r="I16" s="92"/>
      <c r="J16" s="92"/>
    </row>
    <row r="17" spans="1:14" x14ac:dyDescent="0.3">
      <c r="A17" s="1"/>
      <c r="B17" s="1"/>
      <c r="C17" s="79"/>
      <c r="E17" s="79"/>
      <c r="F17" s="79"/>
      <c r="G17" s="79"/>
      <c r="H17" s="92"/>
      <c r="I17" s="92"/>
      <c r="J17" s="92"/>
    </row>
    <row r="18" spans="1:14" x14ac:dyDescent="0.3">
      <c r="A18" s="1"/>
      <c r="B18" s="1"/>
      <c r="C18" s="79"/>
      <c r="E18" s="79"/>
      <c r="F18" s="79"/>
      <c r="G18" s="79"/>
      <c r="H18" s="80"/>
      <c r="I18" s="81"/>
      <c r="J18" s="78"/>
    </row>
    <row r="19" spans="1:14" ht="21" x14ac:dyDescent="0.4">
      <c r="A19" s="1"/>
      <c r="B19" s="1"/>
      <c r="C19" s="79"/>
      <c r="E19" s="79"/>
      <c r="F19" s="79"/>
      <c r="G19" s="79"/>
      <c r="H19" s="93" t="s">
        <v>134</v>
      </c>
      <c r="I19" s="94"/>
      <c r="J19" s="95" t="s">
        <v>155</v>
      </c>
      <c r="N19" s="1"/>
    </row>
    <row r="20" spans="1:14" ht="15.6" x14ac:dyDescent="0.3">
      <c r="A20" s="1"/>
      <c r="B20" s="1"/>
      <c r="C20" s="79"/>
      <c r="E20" s="79"/>
      <c r="F20" s="79"/>
      <c r="G20" s="79"/>
      <c r="H20" s="93" t="s">
        <v>50</v>
      </c>
      <c r="I20" s="95"/>
      <c r="J20" s="95">
        <v>1</v>
      </c>
    </row>
    <row r="21" spans="1:14" ht="15.6" x14ac:dyDescent="0.3">
      <c r="A21" s="1"/>
      <c r="B21" s="1"/>
      <c r="C21" s="79"/>
      <c r="E21" s="79"/>
      <c r="F21" s="79"/>
      <c r="G21" s="79"/>
      <c r="H21" s="96" t="s">
        <v>51</v>
      </c>
      <c r="I21" s="95"/>
      <c r="J21" s="95">
        <v>50</v>
      </c>
    </row>
    <row r="22" spans="1:14" ht="15.6" x14ac:dyDescent="0.3">
      <c r="F22" s="79"/>
      <c r="G22" s="79"/>
      <c r="H22" s="96" t="s">
        <v>136</v>
      </c>
      <c r="I22" s="96"/>
      <c r="J22" s="95">
        <v>1</v>
      </c>
    </row>
    <row r="23" spans="1:14" ht="15.6" x14ac:dyDescent="0.3">
      <c r="A23" s="82"/>
      <c r="B23" s="82"/>
      <c r="C23" s="82"/>
      <c r="D23" s="82"/>
      <c r="E23" s="83"/>
      <c r="F23" s="79"/>
      <c r="G23" s="79"/>
      <c r="H23" s="96" t="s">
        <v>137</v>
      </c>
      <c r="I23" s="96"/>
      <c r="J23" s="95">
        <v>50</v>
      </c>
    </row>
    <row r="24" spans="1:14" ht="15.6" x14ac:dyDescent="0.3">
      <c r="A24" s="84"/>
      <c r="B24" s="85"/>
      <c r="C24" s="1"/>
      <c r="D24" s="73"/>
      <c r="E24" s="1"/>
      <c r="F24" s="79"/>
      <c r="G24" s="79"/>
      <c r="H24" s="96" t="s">
        <v>52</v>
      </c>
      <c r="I24" s="96"/>
      <c r="J24" s="95">
        <v>100</v>
      </c>
      <c r="L24" s="79"/>
    </row>
    <row r="25" spans="1:14" x14ac:dyDescent="0.3">
      <c r="A25" s="86"/>
      <c r="B25" s="1"/>
      <c r="C25" s="1"/>
      <c r="D25" s="73"/>
      <c r="E25" s="1"/>
      <c r="F25" s="79"/>
      <c r="G25" s="79"/>
      <c r="K25" s="79"/>
      <c r="L25" s="79"/>
    </row>
    <row r="26" spans="1:14" x14ac:dyDescent="0.3">
      <c r="A26" s="1"/>
      <c r="B26" s="1"/>
      <c r="C26" s="1"/>
      <c r="D26" s="73"/>
      <c r="E26" s="1"/>
      <c r="F26" s="79"/>
      <c r="K26" s="79"/>
      <c r="L26" s="79"/>
    </row>
    <row r="27" spans="1:14" x14ac:dyDescent="0.3">
      <c r="A27" s="1"/>
      <c r="B27" s="1"/>
      <c r="C27" s="79"/>
      <c r="E27" s="79"/>
      <c r="F27" s="79"/>
      <c r="G27" s="79"/>
      <c r="K27" s="87"/>
      <c r="L27" s="87"/>
    </row>
    <row r="28" spans="1:14" x14ac:dyDescent="0.3">
      <c r="A28" s="1"/>
      <c r="B28" s="76"/>
      <c r="C28" s="73"/>
      <c r="E28" s="79"/>
      <c r="F28" s="79"/>
      <c r="G28" s="79"/>
      <c r="H28" s="79"/>
      <c r="I28" s="88"/>
      <c r="J28" s="79"/>
      <c r="K28" s="87"/>
      <c r="L28" s="87"/>
    </row>
    <row r="29" spans="1:14" x14ac:dyDescent="0.3">
      <c r="A29" s="1"/>
      <c r="B29" s="1"/>
      <c r="C29" s="73"/>
      <c r="E29" s="79"/>
      <c r="F29" s="79"/>
      <c r="G29" s="79"/>
      <c r="H29" s="79"/>
      <c r="I29" s="79"/>
      <c r="J29" s="79"/>
      <c r="K29" s="87"/>
      <c r="L29" s="87"/>
    </row>
    <row r="30" spans="1:14" x14ac:dyDescent="0.3">
      <c r="B30" s="1"/>
      <c r="C30" s="1"/>
      <c r="E30" s="79"/>
      <c r="F30" s="79"/>
      <c r="G30" s="79"/>
      <c r="H30" s="79"/>
      <c r="I30" s="79"/>
      <c r="J30" s="79"/>
      <c r="K30" s="87"/>
      <c r="L30" s="87"/>
    </row>
    <row r="31" spans="1:14" x14ac:dyDescent="0.3">
      <c r="A31" s="1"/>
      <c r="B31" s="76"/>
      <c r="C31" s="73"/>
      <c r="E31" s="79"/>
      <c r="F31" s="79"/>
      <c r="G31" s="79"/>
      <c r="H31" s="79"/>
      <c r="I31" s="79"/>
      <c r="J31" s="79"/>
      <c r="K31" s="87"/>
      <c r="L31" s="87"/>
    </row>
    <row r="32" spans="1:14" x14ac:dyDescent="0.3">
      <c r="A32" s="1"/>
      <c r="B32" s="76"/>
      <c r="C32" s="73"/>
      <c r="E32" s="79"/>
      <c r="F32" s="79"/>
      <c r="G32" s="79"/>
      <c r="H32" s="79"/>
      <c r="I32" s="79"/>
      <c r="J32" s="79"/>
      <c r="K32" s="87"/>
      <c r="L32" s="87"/>
    </row>
    <row r="33" spans="1:12" x14ac:dyDescent="0.3">
      <c r="A33" s="1"/>
      <c r="B33" s="76"/>
      <c r="C33" s="73"/>
      <c r="E33" s="79"/>
      <c r="F33" s="79"/>
      <c r="G33" s="79"/>
      <c r="H33" s="79"/>
      <c r="I33" s="79"/>
      <c r="J33" s="79"/>
      <c r="K33" s="87"/>
      <c r="L33" s="87"/>
    </row>
    <row r="34" spans="1:12" x14ac:dyDescent="0.3">
      <c r="A34" s="1"/>
      <c r="B34" s="76"/>
      <c r="C34" s="73"/>
      <c r="E34" s="79"/>
      <c r="F34" s="79"/>
      <c r="G34" s="79"/>
      <c r="H34" s="79"/>
      <c r="I34" s="79"/>
      <c r="J34" s="79"/>
      <c r="K34" s="87"/>
      <c r="L34" s="87"/>
    </row>
    <row r="35" spans="1:12" x14ac:dyDescent="0.3">
      <c r="A35" s="1"/>
      <c r="B35" s="76"/>
      <c r="C35" s="73"/>
      <c r="E35" s="79"/>
      <c r="F35" s="79"/>
      <c r="G35" s="79"/>
      <c r="H35" s="79"/>
      <c r="I35" s="79"/>
      <c r="J35" s="79"/>
      <c r="K35" s="87"/>
      <c r="L35" s="87"/>
    </row>
    <row r="36" spans="1:12" x14ac:dyDescent="0.3">
      <c r="A36" s="1"/>
      <c r="B36" s="76"/>
      <c r="C36" s="73"/>
      <c r="E36" s="79"/>
      <c r="F36" s="79"/>
      <c r="G36" s="79"/>
      <c r="H36" s="79"/>
      <c r="I36" s="79"/>
      <c r="J36" s="79"/>
      <c r="K36" s="87"/>
      <c r="L36" s="87"/>
    </row>
    <row r="37" spans="1:12" x14ac:dyDescent="0.3">
      <c r="A37" s="1"/>
      <c r="B37" s="76"/>
      <c r="C37" s="73"/>
      <c r="E37" s="79"/>
      <c r="F37" s="79"/>
      <c r="G37" s="79"/>
      <c r="H37" s="79"/>
      <c r="I37" s="79"/>
      <c r="J37" s="79"/>
      <c r="K37" s="79"/>
      <c r="L37" s="79"/>
    </row>
    <row r="38" spans="1:12" x14ac:dyDescent="0.3">
      <c r="A38" s="1"/>
      <c r="B38" s="76"/>
      <c r="C38" s="73"/>
      <c r="E38" s="79"/>
      <c r="F38" s="79"/>
      <c r="G38" s="79"/>
      <c r="H38" s="79"/>
      <c r="I38" s="79"/>
      <c r="J38" s="79"/>
      <c r="K38" s="79"/>
    </row>
    <row r="39" spans="1:12" x14ac:dyDescent="0.3">
      <c r="A39" s="1"/>
      <c r="B39" s="76"/>
      <c r="C39" s="73"/>
      <c r="E39" s="79"/>
      <c r="F39" s="79"/>
      <c r="G39" s="79"/>
      <c r="H39" s="79"/>
      <c r="I39" s="79"/>
      <c r="J39" s="79"/>
      <c r="K39" s="79"/>
    </row>
    <row r="40" spans="1:12" x14ac:dyDescent="0.3">
      <c r="A40" s="1"/>
      <c r="B40" s="76"/>
      <c r="C40" s="73"/>
      <c r="E40" s="79"/>
      <c r="F40" s="79"/>
      <c r="G40" s="79"/>
      <c r="H40" s="79"/>
      <c r="I40" s="79"/>
      <c r="J40" s="79"/>
      <c r="K40" s="79"/>
      <c r="L40" s="79"/>
    </row>
    <row r="41" spans="1:12" x14ac:dyDescent="0.3">
      <c r="A41" s="79"/>
      <c r="B41" s="79"/>
      <c r="C41" s="76"/>
      <c r="E41" s="79"/>
      <c r="F41" s="79"/>
      <c r="G41" s="79"/>
      <c r="H41" s="79"/>
      <c r="I41" s="79"/>
      <c r="J41" s="79"/>
      <c r="K41" s="79"/>
      <c r="L41" s="1"/>
    </row>
    <row r="42" spans="1:12" x14ac:dyDescent="0.3">
      <c r="A42" s="1"/>
      <c r="B42" s="1"/>
      <c r="C42" s="79"/>
      <c r="E42" s="79"/>
      <c r="F42" s="79"/>
      <c r="G42" s="79"/>
      <c r="H42" s="79"/>
      <c r="I42" s="79"/>
      <c r="J42" s="79"/>
      <c r="K42" s="79"/>
    </row>
    <row r="43" spans="1:12" x14ac:dyDescent="0.3">
      <c r="A43" s="1"/>
      <c r="B43" s="1"/>
      <c r="C43" s="79"/>
      <c r="E43" s="79"/>
      <c r="F43" s="79"/>
      <c r="G43" s="79"/>
      <c r="H43" s="79"/>
      <c r="I43" s="79"/>
      <c r="J43" s="79"/>
      <c r="K43" s="79"/>
      <c r="L43" s="79"/>
    </row>
    <row r="44" spans="1:12" x14ac:dyDescent="0.3">
      <c r="A44" s="1"/>
      <c r="B44" s="1"/>
      <c r="C44" s="79"/>
      <c r="E44" s="79"/>
      <c r="F44" s="79"/>
      <c r="G44" s="79"/>
      <c r="H44" s="79"/>
      <c r="I44" s="79"/>
      <c r="J44" s="79"/>
      <c r="K44" s="79"/>
      <c r="L44" s="79"/>
    </row>
    <row r="45" spans="1:12" x14ac:dyDescent="0.3">
      <c r="A45" s="1"/>
      <c r="B45" s="1"/>
      <c r="C45" s="79"/>
      <c r="E45" s="79"/>
      <c r="F45" s="79"/>
      <c r="G45" s="79"/>
      <c r="H45" s="79"/>
      <c r="I45" s="79"/>
      <c r="J45" s="79"/>
      <c r="K45" s="79"/>
      <c r="L45" s="79"/>
    </row>
    <row r="46" spans="1:12" x14ac:dyDescent="0.3">
      <c r="A46" s="1"/>
      <c r="B46" s="79"/>
      <c r="I46" s="79"/>
      <c r="K46" s="79"/>
    </row>
    <row r="47" spans="1:12" x14ac:dyDescent="0.3">
      <c r="I47" s="79"/>
      <c r="K47" s="79"/>
    </row>
    <row r="48" spans="1:12" ht="23.4" x14ac:dyDescent="0.45">
      <c r="A48" s="89"/>
      <c r="B48" s="73"/>
      <c r="C48" s="73"/>
      <c r="K48" s="79"/>
    </row>
    <row r="51" spans="1:2" ht="23.4" x14ac:dyDescent="0.45">
      <c r="A51" s="90"/>
    </row>
    <row r="54" spans="1:2" x14ac:dyDescent="0.3">
      <c r="A54" s="73"/>
    </row>
    <row r="56" spans="1:2" x14ac:dyDescent="0.3">
      <c r="A56" s="144"/>
      <c r="B56" s="144"/>
    </row>
    <row r="76" spans="12:12" x14ac:dyDescent="0.3">
      <c r="L76" s="91"/>
    </row>
    <row r="78" spans="12:12" x14ac:dyDescent="0.3">
      <c r="L78" s="91"/>
    </row>
  </sheetData>
  <sheetProtection algorithmName="SHA-512" hashValue="N0PdkMNohKIpybAyr5zH/oblGoed2JqO2/4HkqYDSrsFqqvt4lXCo4/7rXp4b+8ahH7kjNKTtkSTucbdOEFydA==" saltValue="JkI65PXF8rqGXIE3EGu3aw==" spinCount="100000" sheet="1" objects="1" scenarios="1"/>
  <mergeCells count="2">
    <mergeCell ref="A56:B56"/>
    <mergeCell ref="C4:G5"/>
  </mergeCells>
  <dataValidations count="5">
    <dataValidation type="decimal" operator="greaterThan" allowBlank="1" showInputMessage="1" showErrorMessage="1" sqref="B6:B21 B24:B27 B42:B45" xr:uid="{00000000-0002-0000-0000-000000000000}">
      <formula1>0</formula1>
    </dataValidation>
    <dataValidation type="decimal" operator="greaterThanOrEqual" allowBlank="1" showInputMessage="1" showErrorMessage="1" sqref="J21" xr:uid="{B46DAA9E-BAFE-4630-816D-5196281CAB9E}">
      <formula1>(J20)</formula1>
    </dataValidation>
    <dataValidation type="decimal" allowBlank="1" showInputMessage="1" showErrorMessage="1" sqref="J22" xr:uid="{D29768FC-36A4-4342-B30D-187B6826B122}">
      <formula1>J20</formula1>
      <formula2>(J23*0.999)</formula2>
    </dataValidation>
    <dataValidation type="decimal" allowBlank="1" showInputMessage="1" showErrorMessage="1" sqref="J23" xr:uid="{7F7E0F39-9B86-4CF9-81F1-91C234799DA9}">
      <formula1>(J22*1.001)</formula1>
      <formula2>J21</formula2>
    </dataValidation>
    <dataValidation type="decimal" allowBlank="1" showInputMessage="1" showErrorMessage="1" sqref="J24" xr:uid="{00FBD93E-1D88-480B-B593-3A61B6BE66F5}">
      <formula1>5</formula1>
      <formula2>100</formula2>
    </dataValidation>
  </dataValidations>
  <pageMargins left="0.7" right="0.7" top="0.78740157499999996" bottom="0.78740157499999996" header="0.3" footer="0.3"/>
  <pageSetup paperSize="9" orientation="landscape"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36E4-1F75-4350-A6A1-F07C661B4FED}">
  <dimension ref="A1:H21"/>
  <sheetViews>
    <sheetView zoomScale="150" workbookViewId="0">
      <selection activeCell="B22" sqref="B22"/>
    </sheetView>
  </sheetViews>
  <sheetFormatPr baseColWidth="10" defaultRowHeight="14.4" x14ac:dyDescent="0.3"/>
  <cols>
    <col min="1" max="1" width="14" customWidth="1"/>
    <col min="2" max="2" width="22.6640625" customWidth="1"/>
    <col min="3" max="3" width="22.5546875" customWidth="1"/>
    <col min="4" max="4" width="23.44140625" customWidth="1"/>
    <col min="5" max="5" width="21.44140625" customWidth="1"/>
    <col min="6" max="6" width="17.5546875" customWidth="1"/>
    <col min="7" max="7" width="13" customWidth="1"/>
  </cols>
  <sheetData>
    <row r="1" spans="1:8" x14ac:dyDescent="0.3">
      <c r="A1" s="126" t="str">
        <f>'FALL 3'!O2</f>
        <v>BESCHRIFTUNG</v>
      </c>
      <c r="B1" s="126"/>
      <c r="C1" s="126" t="str">
        <f>'FALL 3'!Q2</f>
        <v>FALL C</v>
      </c>
      <c r="D1" s="126" t="str">
        <f>'FALL 3'!R2</f>
        <v>DATUM:</v>
      </c>
      <c r="E1" s="127"/>
      <c r="F1" s="126"/>
      <c r="G1" s="126"/>
      <c r="H1" s="125"/>
    </row>
    <row r="2" spans="1:8" x14ac:dyDescent="0.3">
      <c r="A2" s="121"/>
      <c r="B2" s="115" t="str">
        <f ca="1">'FALL 3'!P3</f>
        <v/>
      </c>
      <c r="C2" s="115" t="str">
        <f ca="1">'FALL 3'!Q3</f>
        <v/>
      </c>
      <c r="D2" s="117" t="str">
        <f ca="1">'FALL 3'!R3</f>
        <v/>
      </c>
      <c r="E2" s="116" t="str">
        <f ca="1">'FALL 3'!S3</f>
        <v/>
      </c>
      <c r="F2" s="116" t="str">
        <f ca="1">'FALL 3'!T3</f>
        <v/>
      </c>
      <c r="G2" s="121"/>
    </row>
    <row r="3" spans="1:8" x14ac:dyDescent="0.3">
      <c r="A3" s="121"/>
      <c r="B3" s="115" t="str">
        <f ca="1">'FALL 3'!P4</f>
        <v/>
      </c>
      <c r="C3" s="115" t="str">
        <f ca="1">'FALL 3'!Q4</f>
        <v/>
      </c>
      <c r="D3" s="117" t="str">
        <f ca="1">'FALL 3'!R4</f>
        <v/>
      </c>
      <c r="E3" s="116" t="str">
        <f ca="1">'FALL 3'!S4</f>
        <v/>
      </c>
      <c r="F3" s="116" t="str">
        <f ca="1">'FALL 3'!T4</f>
        <v/>
      </c>
      <c r="G3" s="121"/>
    </row>
    <row r="4" spans="1:8" x14ac:dyDescent="0.3">
      <c r="A4" s="121"/>
      <c r="B4" s="115" t="str">
        <f ca="1">'FALL 3'!P5</f>
        <v/>
      </c>
      <c r="C4" s="115" t="str">
        <f ca="1">'FALL 3'!Q5</f>
        <v/>
      </c>
      <c r="D4" s="117" t="str">
        <f ca="1">'FALL 3'!R5</f>
        <v/>
      </c>
      <c r="E4" s="116" t="str">
        <f ca="1">'FALL 3'!S5</f>
        <v/>
      </c>
      <c r="F4" s="116" t="str">
        <f ca="1">'FALL 3'!T5</f>
        <v/>
      </c>
      <c r="G4" s="121"/>
    </row>
    <row r="5" spans="1:8" x14ac:dyDescent="0.3">
      <c r="A5" s="121"/>
      <c r="B5" s="115" t="str">
        <f ca="1">'FALL 3'!P6</f>
        <v/>
      </c>
      <c r="C5" s="115" t="str">
        <f ca="1">'FALL 3'!Q6</f>
        <v/>
      </c>
      <c r="D5" s="117" t="str">
        <f ca="1">'FALL 3'!R6</f>
        <v/>
      </c>
      <c r="E5" s="116" t="str">
        <f ca="1">'FALL 3'!S6</f>
        <v/>
      </c>
      <c r="F5" s="116" t="str">
        <f ca="1">'FALL 3'!T6</f>
        <v/>
      </c>
      <c r="G5" s="121"/>
    </row>
    <row r="6" spans="1:8" x14ac:dyDescent="0.3">
      <c r="A6" s="121"/>
      <c r="B6" s="115" t="str">
        <f ca="1">'FALL 3'!P7</f>
        <v/>
      </c>
      <c r="C6" s="115" t="str">
        <f ca="1">'FALL 3'!Q7</f>
        <v/>
      </c>
      <c r="D6" s="117" t="str">
        <f ca="1">'FALL 3'!R7</f>
        <v/>
      </c>
      <c r="E6" s="116" t="str">
        <f ca="1">'FALL 3'!S7</f>
        <v/>
      </c>
      <c r="F6" s="116" t="str">
        <f ca="1">'FALL 3'!T7</f>
        <v/>
      </c>
      <c r="G6" s="121"/>
    </row>
    <row r="7" spans="1:8" x14ac:dyDescent="0.3">
      <c r="A7" s="121"/>
      <c r="B7" s="115" t="str">
        <f ca="1">'FALL 3'!P8</f>
        <v/>
      </c>
      <c r="C7" s="115" t="str">
        <f ca="1">'FALL 3'!Q8</f>
        <v/>
      </c>
      <c r="D7" s="117" t="str">
        <f ca="1">'FALL 3'!R8</f>
        <v/>
      </c>
      <c r="E7" s="116" t="str">
        <f ca="1">'FALL 3'!S8</f>
        <v/>
      </c>
      <c r="F7" s="116" t="str">
        <f ca="1">'FALL 3'!T8</f>
        <v/>
      </c>
      <c r="G7" s="121"/>
    </row>
    <row r="8" spans="1:8" x14ac:dyDescent="0.3">
      <c r="A8" s="121"/>
      <c r="B8" s="115" t="str">
        <f ca="1">'FALL 3'!P9</f>
        <v/>
      </c>
      <c r="C8" s="115" t="str">
        <f ca="1">'FALL 3'!Q9</f>
        <v/>
      </c>
      <c r="D8" s="117" t="str">
        <f ca="1">'FALL 3'!R9</f>
        <v/>
      </c>
      <c r="E8" s="116" t="str">
        <f ca="1">'FALL 3'!S9</f>
        <v/>
      </c>
      <c r="F8" s="116" t="str">
        <f ca="1">'FALL 3'!T9</f>
        <v/>
      </c>
      <c r="G8" s="121"/>
    </row>
    <row r="9" spans="1:8" x14ac:dyDescent="0.3">
      <c r="A9" s="121"/>
      <c r="B9" s="115" t="str">
        <f ca="1">'FALL 3'!P10</f>
        <v/>
      </c>
      <c r="C9" s="115" t="str">
        <f ca="1">'FALL 3'!Q10</f>
        <v/>
      </c>
      <c r="D9" s="117" t="str">
        <f ca="1">'FALL 3'!R10</f>
        <v/>
      </c>
      <c r="E9" s="116" t="str">
        <f ca="1">'FALL 3'!S10</f>
        <v/>
      </c>
      <c r="F9" s="116" t="str">
        <f ca="1">'FALL 3'!T10</f>
        <v/>
      </c>
      <c r="G9" s="121"/>
    </row>
    <row r="10" spans="1:8" x14ac:dyDescent="0.3">
      <c r="A10" s="121"/>
      <c r="B10" s="115" t="str">
        <f ca="1">'FALL 3'!P11</f>
        <v/>
      </c>
      <c r="C10" s="115" t="str">
        <f ca="1">'FALL 3'!Q11</f>
        <v/>
      </c>
      <c r="D10" s="117" t="str">
        <f ca="1">'FALL 3'!R11</f>
        <v/>
      </c>
      <c r="E10" s="116" t="str">
        <f ca="1">'FALL 3'!S11</f>
        <v/>
      </c>
      <c r="F10" s="116" t="str">
        <f ca="1">'FALL 3'!T11</f>
        <v/>
      </c>
      <c r="G10" s="121"/>
    </row>
    <row r="11" spans="1:8" ht="21" x14ac:dyDescent="0.4">
      <c r="A11" s="122" t="str">
        <f>'FALL 3'!O12</f>
        <v>●</v>
      </c>
      <c r="B11" s="115" t="str">
        <f ca="1">'FALL 3'!P12</f>
        <v/>
      </c>
      <c r="C11" s="115" t="str">
        <f ca="1">'FALL 3'!Q12</f>
        <v/>
      </c>
      <c r="D11" s="123" t="str">
        <f>'FALL 3'!R12</f>
        <v>●</v>
      </c>
      <c r="E11" s="116" t="str">
        <f ca="1">'FALL 3'!S12</f>
        <v/>
      </c>
      <c r="F11" s="116" t="str">
        <f ca="1">'FALL 3'!T12</f>
        <v/>
      </c>
      <c r="G11" s="124" t="str">
        <f>'FALL 3'!U12</f>
        <v>●</v>
      </c>
    </row>
    <row r="12" spans="1:8" x14ac:dyDescent="0.3">
      <c r="A12" s="121"/>
      <c r="B12" s="115" t="str">
        <f ca="1">'FALL 3'!P13</f>
        <v/>
      </c>
      <c r="C12" s="115" t="str">
        <f ca="1">'FALL 3'!Q13</f>
        <v/>
      </c>
      <c r="D12" s="117" t="str">
        <f ca="1">'FALL 3'!R13</f>
        <v/>
      </c>
      <c r="E12" s="116" t="str">
        <f ca="1">'FALL 3'!S13</f>
        <v/>
      </c>
      <c r="F12" s="116" t="str">
        <f ca="1">'FALL 3'!T13</f>
        <v/>
      </c>
      <c r="G12" s="121"/>
    </row>
    <row r="13" spans="1:8" x14ac:dyDescent="0.3">
      <c r="A13" s="121"/>
      <c r="B13" s="115" t="str">
        <f ca="1">'FALL 3'!P14</f>
        <v/>
      </c>
      <c r="C13" s="115" t="str">
        <f ca="1">'FALL 3'!Q14</f>
        <v/>
      </c>
      <c r="D13" s="117" t="str">
        <f ca="1">'FALL 3'!R14</f>
        <v/>
      </c>
      <c r="E13" s="116" t="str">
        <f ca="1">'FALL 3'!S14</f>
        <v/>
      </c>
      <c r="F13" s="116" t="str">
        <f ca="1">'FALL 3'!T14</f>
        <v/>
      </c>
      <c r="G13" s="121"/>
    </row>
    <row r="14" spans="1:8" x14ac:dyDescent="0.3">
      <c r="A14" s="121"/>
      <c r="B14" s="115" t="str">
        <f ca="1">'FALL 3'!P15</f>
        <v/>
      </c>
      <c r="C14" s="115" t="str">
        <f ca="1">'FALL 3'!Q15</f>
        <v/>
      </c>
      <c r="D14" s="117" t="str">
        <f ca="1">'FALL 3'!R15</f>
        <v/>
      </c>
      <c r="E14" s="116" t="str">
        <f ca="1">'FALL 3'!S15</f>
        <v/>
      </c>
      <c r="F14" s="116" t="str">
        <f ca="1">'FALL 3'!T15</f>
        <v/>
      </c>
      <c r="G14" s="121"/>
    </row>
    <row r="15" spans="1:8" x14ac:dyDescent="0.3">
      <c r="A15" s="121"/>
      <c r="B15" s="115" t="str">
        <f ca="1">'FALL 3'!P16</f>
        <v/>
      </c>
      <c r="C15" s="115" t="str">
        <f ca="1">'FALL 3'!Q16</f>
        <v/>
      </c>
      <c r="D15" s="117" t="str">
        <f ca="1">'FALL 3'!R16</f>
        <v/>
      </c>
      <c r="E15" s="116" t="str">
        <f ca="1">'FALL 3'!S16</f>
        <v/>
      </c>
      <c r="F15" s="116" t="str">
        <f ca="1">'FALL 3'!T16</f>
        <v/>
      </c>
      <c r="G15" s="121"/>
    </row>
    <row r="16" spans="1:8" x14ac:dyDescent="0.3">
      <c r="A16" s="121"/>
      <c r="B16" s="115">
        <f ca="1">'FALL 3'!P17</f>
        <v>23.4</v>
      </c>
      <c r="C16" s="115" t="str">
        <f ca="1">'FALL 3'!Q17</f>
        <v/>
      </c>
      <c r="D16" s="117" t="str">
        <f ca="1">'FALL 3'!R17</f>
        <v/>
      </c>
      <c r="E16" s="116" t="str">
        <f ca="1">'FALL 3'!S17</f>
        <v/>
      </c>
      <c r="F16" s="116" t="str">
        <f ca="1">'FALL 3'!T17</f>
        <v/>
      </c>
      <c r="G16" s="121"/>
    </row>
    <row r="17" spans="1:7" x14ac:dyDescent="0.3">
      <c r="A17" s="121"/>
      <c r="B17" s="115" t="str">
        <f ca="1">'FALL 3'!P18</f>
        <v/>
      </c>
      <c r="C17" s="115" t="str">
        <f ca="1">'FALL 3'!Q18</f>
        <v/>
      </c>
      <c r="D17" s="117" t="str">
        <f ca="1">'FALL 3'!R18</f>
        <v/>
      </c>
      <c r="E17" s="116" t="str">
        <f ca="1">'FALL 3'!S18</f>
        <v/>
      </c>
      <c r="F17" s="116" t="str">
        <f ca="1">'FALL 3'!T18</f>
        <v/>
      </c>
      <c r="G17" s="121"/>
    </row>
    <row r="18" spans="1:7" x14ac:dyDescent="0.3">
      <c r="A18" s="121"/>
      <c r="B18" s="115" t="str">
        <f ca="1">'FALL 3'!P19</f>
        <v/>
      </c>
      <c r="C18" s="115" t="str">
        <f ca="1">'FALL 3'!Q19</f>
        <v/>
      </c>
      <c r="D18" s="117" t="str">
        <f ca="1">'FALL 3'!R19</f>
        <v/>
      </c>
      <c r="E18" s="116" t="str">
        <f ca="1">'FALL 3'!S19</f>
        <v/>
      </c>
      <c r="F18" s="116" t="str">
        <f ca="1">'FALL 3'!T19</f>
        <v/>
      </c>
      <c r="G18" s="121"/>
    </row>
    <row r="19" spans="1:7" x14ac:dyDescent="0.3">
      <c r="A19" s="121"/>
      <c r="B19" s="115" t="str">
        <f ca="1">'FALL 3'!P20</f>
        <v/>
      </c>
      <c r="C19" s="115" t="str">
        <f ca="1">'FALL 3'!Q20</f>
        <v/>
      </c>
      <c r="D19" s="117" t="str">
        <f ca="1">'FALL 3'!R20</f>
        <v/>
      </c>
      <c r="E19" s="116" t="str">
        <f ca="1">'FALL 3'!S20</f>
        <v/>
      </c>
      <c r="F19" s="116" t="str">
        <f ca="1">'FALL 3'!T20</f>
        <v/>
      </c>
      <c r="G19" s="121"/>
    </row>
    <row r="20" spans="1:7" x14ac:dyDescent="0.3">
      <c r="A20" s="121"/>
      <c r="B20" s="115" t="str">
        <f ca="1">'FALL 3'!P21</f>
        <v/>
      </c>
      <c r="C20" s="115" t="str">
        <f ca="1">'FALL 3'!Q21</f>
        <v/>
      </c>
      <c r="D20" s="117" t="str">
        <f ca="1">'FALL 3'!R21</f>
        <v/>
      </c>
      <c r="E20" s="116" t="str">
        <f ca="1">'FALL 3'!S21</f>
        <v/>
      </c>
      <c r="F20" s="116" t="str">
        <f ca="1">'FALL 3'!T21</f>
        <v/>
      </c>
      <c r="G20" s="121"/>
    </row>
    <row r="21" spans="1:7" x14ac:dyDescent="0.3">
      <c r="A21" s="121"/>
      <c r="B21" s="115" t="str">
        <f ca="1">'FALL 3'!P22</f>
        <v/>
      </c>
      <c r="C21" s="115" t="str">
        <f ca="1">'FALL 3'!Q22</f>
        <v/>
      </c>
      <c r="D21" s="117" t="str">
        <f ca="1">'FALL 3'!R22</f>
        <v/>
      </c>
      <c r="E21" s="116" t="str">
        <f ca="1">'FALL 3'!S22</f>
        <v/>
      </c>
      <c r="F21" s="116" t="str">
        <f ca="1">'FALL 3'!T22</f>
        <v/>
      </c>
      <c r="G21" s="121"/>
    </row>
  </sheetData>
  <dataValidations count="1">
    <dataValidation type="whole" operator="equal" allowBlank="1" showInputMessage="1" showErrorMessage="1" sqref="B2:F21 G11 A11" xr:uid="{6AF9CDBE-CCAF-4CD1-9306-CF1BC1C5D812}">
      <formula1>100000</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045F-1082-4A20-A475-48D31827D42A}">
  <dimension ref="A1:G21"/>
  <sheetViews>
    <sheetView zoomScale="147" workbookViewId="0">
      <selection activeCell="B23" sqref="B23"/>
    </sheetView>
  </sheetViews>
  <sheetFormatPr baseColWidth="10" defaultRowHeight="14.4" x14ac:dyDescent="0.3"/>
  <cols>
    <col min="2" max="2" width="19.109375" customWidth="1"/>
    <col min="3" max="3" width="21.88671875" customWidth="1"/>
    <col min="4" max="4" width="23.88671875" customWidth="1"/>
    <col min="5" max="5" width="26.44140625" customWidth="1"/>
    <col min="6" max="6" width="24.5546875" customWidth="1"/>
  </cols>
  <sheetData>
    <row r="1" spans="1:7" x14ac:dyDescent="0.3">
      <c r="A1" s="126" t="str">
        <f>'FALL 4'!O2</f>
        <v>BESCHRIFTUNG</v>
      </c>
      <c r="B1" s="126"/>
      <c r="C1" s="126" t="str">
        <f>'FALL 4'!Q2</f>
        <v>FALL D</v>
      </c>
      <c r="D1" s="126" t="str">
        <f>'FALL 4'!R2</f>
        <v>DATUM:</v>
      </c>
      <c r="E1" s="127"/>
      <c r="F1" s="126"/>
      <c r="G1" s="126"/>
    </row>
    <row r="2" spans="1:7" x14ac:dyDescent="0.3">
      <c r="A2" s="121"/>
      <c r="B2" s="115" t="str">
        <f ca="1">'FALL 4'!P3</f>
        <v/>
      </c>
      <c r="C2" s="115" t="str">
        <f ca="1">'FALL 4'!Q3</f>
        <v/>
      </c>
      <c r="D2" s="117" t="str">
        <f ca="1">'FALL 4'!R3</f>
        <v/>
      </c>
      <c r="E2" s="116" t="str">
        <f ca="1">'FALL 4'!S3</f>
        <v/>
      </c>
      <c r="F2" s="116" t="str">
        <f ca="1">'FALL 4'!T3</f>
        <v/>
      </c>
      <c r="G2" s="121"/>
    </row>
    <row r="3" spans="1:7" x14ac:dyDescent="0.3">
      <c r="A3" s="121"/>
      <c r="B3" s="115" t="str">
        <f ca="1">'FALL 4'!P4</f>
        <v/>
      </c>
      <c r="C3" s="115" t="str">
        <f ca="1">'FALL 4'!Q4</f>
        <v/>
      </c>
      <c r="D3" s="117" t="str">
        <f ca="1">'FALL 4'!R4</f>
        <v/>
      </c>
      <c r="E3" s="116" t="str">
        <f ca="1">'FALL 4'!S4</f>
        <v/>
      </c>
      <c r="F3" s="116" t="str">
        <f ca="1">'FALL 4'!T4</f>
        <v/>
      </c>
      <c r="G3" s="121"/>
    </row>
    <row r="4" spans="1:7" x14ac:dyDescent="0.3">
      <c r="A4" s="121"/>
      <c r="B4" s="115" t="str">
        <f ca="1">'FALL 4'!P5</f>
        <v/>
      </c>
      <c r="C4" s="115" t="str">
        <f ca="1">'FALL 4'!Q5</f>
        <v/>
      </c>
      <c r="D4" s="117" t="str">
        <f ca="1">'FALL 4'!R5</f>
        <v/>
      </c>
      <c r="E4" s="116" t="str">
        <f ca="1">'FALL 4'!S5</f>
        <v/>
      </c>
      <c r="F4" s="116" t="str">
        <f ca="1">'FALL 4'!T5</f>
        <v/>
      </c>
      <c r="G4" s="121"/>
    </row>
    <row r="5" spans="1:7" x14ac:dyDescent="0.3">
      <c r="A5" s="121"/>
      <c r="B5" s="115" t="str">
        <f ca="1">'FALL 4'!P6</f>
        <v/>
      </c>
      <c r="C5" s="115" t="str">
        <f ca="1">'FALL 4'!Q6</f>
        <v/>
      </c>
      <c r="D5" s="117" t="str">
        <f ca="1">'FALL 4'!R6</f>
        <v/>
      </c>
      <c r="E5" s="116" t="str">
        <f ca="1">'FALL 4'!S6</f>
        <v/>
      </c>
      <c r="F5" s="116" t="str">
        <f ca="1">'FALL 4'!T6</f>
        <v/>
      </c>
      <c r="G5" s="121"/>
    </row>
    <row r="6" spans="1:7" x14ac:dyDescent="0.3">
      <c r="A6" s="121"/>
      <c r="B6" s="115" t="str">
        <f ca="1">'FALL 4'!P7</f>
        <v/>
      </c>
      <c r="C6" s="115" t="str">
        <f ca="1">'FALL 4'!Q7</f>
        <v/>
      </c>
      <c r="D6" s="117" t="str">
        <f ca="1">'FALL 4'!R7</f>
        <v/>
      </c>
      <c r="E6" s="116" t="str">
        <f ca="1">'FALL 4'!S7</f>
        <v/>
      </c>
      <c r="F6" s="116" t="str">
        <f ca="1">'FALL 4'!T7</f>
        <v/>
      </c>
      <c r="G6" s="121"/>
    </row>
    <row r="7" spans="1:7" x14ac:dyDescent="0.3">
      <c r="A7" s="121"/>
      <c r="B7" s="115" t="str">
        <f ca="1">'FALL 4'!P8</f>
        <v/>
      </c>
      <c r="C7" s="115" t="str">
        <f ca="1">'FALL 4'!Q8</f>
        <v/>
      </c>
      <c r="D7" s="117">
        <f ca="1">'FALL 4'!R8</f>
        <v>6.2</v>
      </c>
      <c r="E7" s="116" t="str">
        <f ca="1">'FALL 4'!S8</f>
        <v/>
      </c>
      <c r="F7" s="116" t="str">
        <f ca="1">'FALL 4'!T8</f>
        <v/>
      </c>
      <c r="G7" s="121"/>
    </row>
    <row r="8" spans="1:7" x14ac:dyDescent="0.3">
      <c r="A8" s="121"/>
      <c r="B8" s="115" t="str">
        <f ca="1">'FALL 4'!P9</f>
        <v/>
      </c>
      <c r="C8" s="115" t="str">
        <f ca="1">'FALL 4'!Q9</f>
        <v/>
      </c>
      <c r="D8" s="117">
        <f ca="1">'FALL 4'!R9</f>
        <v>6.2</v>
      </c>
      <c r="E8" s="116" t="str">
        <f ca="1">'FALL 4'!S9</f>
        <v/>
      </c>
      <c r="F8" s="116" t="str">
        <f ca="1">'FALL 4'!T9</f>
        <v/>
      </c>
      <c r="G8" s="121"/>
    </row>
    <row r="9" spans="1:7" x14ac:dyDescent="0.3">
      <c r="A9" s="121"/>
      <c r="B9" s="115" t="str">
        <f ca="1">'FALL 4'!P10</f>
        <v/>
      </c>
      <c r="C9" s="115" t="str">
        <f ca="1">'FALL 4'!Q10</f>
        <v/>
      </c>
      <c r="D9" s="117">
        <f ca="1">'FALL 4'!R10</f>
        <v>6.2</v>
      </c>
      <c r="E9" s="116" t="str">
        <f ca="1">'FALL 4'!S10</f>
        <v/>
      </c>
      <c r="F9" s="116" t="str">
        <f ca="1">'FALL 4'!T10</f>
        <v/>
      </c>
      <c r="G9" s="121"/>
    </row>
    <row r="10" spans="1:7" x14ac:dyDescent="0.3">
      <c r="A10" s="121"/>
      <c r="B10" s="115" t="str">
        <f ca="1">'FALL 4'!P11</f>
        <v/>
      </c>
      <c r="C10" s="115" t="str">
        <f ca="1">'FALL 4'!Q11</f>
        <v/>
      </c>
      <c r="D10" s="117" t="str">
        <f ca="1">'FALL 4'!R11</f>
        <v/>
      </c>
      <c r="E10" s="116" t="str">
        <f ca="1">'FALL 4'!S11</f>
        <v/>
      </c>
      <c r="F10" s="116" t="str">
        <f ca="1">'FALL 4'!T11</f>
        <v/>
      </c>
      <c r="G10" s="121"/>
    </row>
    <row r="11" spans="1:7" ht="21" x14ac:dyDescent="0.4">
      <c r="A11" s="128" t="s">
        <v>141</v>
      </c>
      <c r="B11" s="115" t="str">
        <f ca="1">'FALL 4'!P12</f>
        <v/>
      </c>
      <c r="C11" s="115" t="str">
        <f ca="1">'FALL 4'!Q12</f>
        <v/>
      </c>
      <c r="D11" s="123" t="str">
        <f>'FALL 4'!R12</f>
        <v>●</v>
      </c>
      <c r="E11" s="116" t="str">
        <f ca="1">'FALL 4'!S12</f>
        <v/>
      </c>
      <c r="F11" s="116" t="str">
        <f ca="1">'FALL 4'!T12</f>
        <v/>
      </c>
      <c r="G11" s="124" t="str">
        <f>'FALL 4'!U12</f>
        <v>●</v>
      </c>
    </row>
    <row r="12" spans="1:7" x14ac:dyDescent="0.3">
      <c r="A12" s="121"/>
      <c r="B12" s="115" t="str">
        <f ca="1">'FALL 4'!P13</f>
        <v/>
      </c>
      <c r="C12" s="115" t="str">
        <f ca="1">'FALL 4'!Q13</f>
        <v/>
      </c>
      <c r="D12" s="117" t="str">
        <f ca="1">'FALL 4'!R13</f>
        <v/>
      </c>
      <c r="E12" s="116" t="str">
        <f ca="1">'FALL 4'!S13</f>
        <v/>
      </c>
      <c r="F12" s="116" t="str">
        <f ca="1">'FALL 4'!T13</f>
        <v/>
      </c>
      <c r="G12" s="121"/>
    </row>
    <row r="13" spans="1:7" x14ac:dyDescent="0.3">
      <c r="A13" s="121"/>
      <c r="B13" s="115" t="str">
        <f ca="1">'FALL 4'!P14</f>
        <v/>
      </c>
      <c r="C13" s="115" t="str">
        <f ca="1">'FALL 4'!Q14</f>
        <v/>
      </c>
      <c r="D13" s="117" t="str">
        <f ca="1">'FALL 4'!R14</f>
        <v/>
      </c>
      <c r="E13" s="116" t="str">
        <f ca="1">'FALL 4'!S14</f>
        <v/>
      </c>
      <c r="F13" s="116" t="str">
        <f ca="1">'FALL 4'!T14</f>
        <v/>
      </c>
      <c r="G13" s="121"/>
    </row>
    <row r="14" spans="1:7" x14ac:dyDescent="0.3">
      <c r="A14" s="121"/>
      <c r="B14" s="115" t="str">
        <f ca="1">'FALL 4'!P15</f>
        <v/>
      </c>
      <c r="C14" s="115" t="str">
        <f ca="1">'FALL 4'!Q15</f>
        <v/>
      </c>
      <c r="D14" s="117" t="str">
        <f ca="1">'FALL 4'!R15</f>
        <v/>
      </c>
      <c r="E14" s="116" t="str">
        <f ca="1">'FALL 4'!S15</f>
        <v/>
      </c>
      <c r="F14" s="116" t="str">
        <f ca="1">'FALL 4'!T15</f>
        <v/>
      </c>
      <c r="G14" s="121"/>
    </row>
    <row r="15" spans="1:7" x14ac:dyDescent="0.3">
      <c r="A15" s="121"/>
      <c r="B15" s="115" t="str">
        <f ca="1">'FALL 4'!P16</f>
        <v/>
      </c>
      <c r="C15" s="115" t="str">
        <f ca="1">'FALL 4'!Q16</f>
        <v/>
      </c>
      <c r="D15" s="117" t="str">
        <f ca="1">'FALL 4'!R16</f>
        <v/>
      </c>
      <c r="E15" s="116" t="str">
        <f ca="1">'FALL 4'!S16</f>
        <v/>
      </c>
      <c r="F15" s="116" t="str">
        <f ca="1">'FALL 4'!T16</f>
        <v/>
      </c>
      <c r="G15" s="121"/>
    </row>
    <row r="16" spans="1:7" x14ac:dyDescent="0.3">
      <c r="A16" s="121"/>
      <c r="B16" s="115" t="str">
        <f ca="1">'FALL 4'!P17</f>
        <v/>
      </c>
      <c r="C16" s="115" t="str">
        <f ca="1">'FALL 4'!Q17</f>
        <v/>
      </c>
      <c r="D16" s="117" t="str">
        <f ca="1">'FALL 4'!R17</f>
        <v/>
      </c>
      <c r="E16" s="116" t="str">
        <f ca="1">'FALL 4'!S17</f>
        <v/>
      </c>
      <c r="F16" s="116" t="str">
        <f ca="1">'FALL 4'!T17</f>
        <v/>
      </c>
      <c r="G16" s="121"/>
    </row>
    <row r="17" spans="1:7" x14ac:dyDescent="0.3">
      <c r="A17" s="121"/>
      <c r="B17" s="115" t="str">
        <f ca="1">'FALL 4'!P18</f>
        <v/>
      </c>
      <c r="C17" s="115" t="str">
        <f ca="1">'FALL 4'!Q18</f>
        <v/>
      </c>
      <c r="D17" s="117" t="str">
        <f ca="1">'FALL 4'!R18</f>
        <v/>
      </c>
      <c r="E17" s="116" t="str">
        <f ca="1">'FALL 4'!S18</f>
        <v/>
      </c>
      <c r="F17" s="116" t="str">
        <f ca="1">'FALL 4'!T18</f>
        <v/>
      </c>
      <c r="G17" s="121"/>
    </row>
    <row r="18" spans="1:7" x14ac:dyDescent="0.3">
      <c r="A18" s="121"/>
      <c r="B18" s="115" t="str">
        <f ca="1">'FALL 4'!P19</f>
        <v/>
      </c>
      <c r="C18" s="115" t="str">
        <f ca="1">'FALL 4'!Q19</f>
        <v/>
      </c>
      <c r="D18" s="117" t="str">
        <f ca="1">'FALL 4'!R19</f>
        <v/>
      </c>
      <c r="E18" s="116" t="str">
        <f ca="1">'FALL 4'!S19</f>
        <v/>
      </c>
      <c r="F18" s="116" t="str">
        <f ca="1">'FALL 4'!T19</f>
        <v/>
      </c>
      <c r="G18" s="121"/>
    </row>
    <row r="19" spans="1:7" x14ac:dyDescent="0.3">
      <c r="A19" s="121"/>
      <c r="B19" s="115" t="str">
        <f ca="1">'FALL 4'!P20</f>
        <v/>
      </c>
      <c r="C19" s="115" t="str">
        <f ca="1">'FALL 4'!Q20</f>
        <v/>
      </c>
      <c r="D19" s="117" t="str">
        <f ca="1">'FALL 4'!R20</f>
        <v/>
      </c>
      <c r="E19" s="116" t="str">
        <f ca="1">'FALL 4'!S20</f>
        <v/>
      </c>
      <c r="F19" s="116" t="str">
        <f ca="1">'FALL 4'!T20</f>
        <v/>
      </c>
      <c r="G19" s="121"/>
    </row>
    <row r="20" spans="1:7" x14ac:dyDescent="0.3">
      <c r="A20" s="121"/>
      <c r="B20" s="115" t="str">
        <f ca="1">'FALL 4'!P21</f>
        <v/>
      </c>
      <c r="C20" s="115" t="str">
        <f ca="1">'FALL 4'!Q21</f>
        <v/>
      </c>
      <c r="D20" s="117" t="str">
        <f ca="1">'FALL 4'!R21</f>
        <v/>
      </c>
      <c r="E20" s="116" t="str">
        <f ca="1">'FALL 4'!S21</f>
        <v/>
      </c>
      <c r="F20" s="116" t="str">
        <f ca="1">'FALL 4'!T21</f>
        <v/>
      </c>
      <c r="G20" s="121"/>
    </row>
    <row r="21" spans="1:7" x14ac:dyDescent="0.3">
      <c r="A21" s="121"/>
      <c r="B21" s="115" t="str">
        <f ca="1">'FALL 4'!P22</f>
        <v/>
      </c>
      <c r="C21" s="115" t="str">
        <f ca="1">'FALL 4'!Q22</f>
        <v/>
      </c>
      <c r="D21" s="117" t="str">
        <f ca="1">'FALL 4'!R22</f>
        <v/>
      </c>
      <c r="E21" s="116" t="str">
        <f ca="1">'FALL 4'!S22</f>
        <v/>
      </c>
      <c r="F21" s="116" t="str">
        <f ca="1">'FALL 4'!T22</f>
        <v/>
      </c>
      <c r="G21" s="121"/>
    </row>
  </sheetData>
  <dataValidations count="1">
    <dataValidation type="whole" operator="equal" allowBlank="1" showInputMessage="1" showErrorMessage="1" sqref="B2:F21 G11 A11" xr:uid="{88F50BA9-B77A-4D28-81D2-845CABEFAAB4}">
      <formula1>100000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1687-95D5-4DA2-ADA9-00AEE4F44D3E}">
  <dimension ref="A1:G21"/>
  <sheetViews>
    <sheetView zoomScale="149" workbookViewId="0">
      <selection activeCell="D20" sqref="D20"/>
    </sheetView>
  </sheetViews>
  <sheetFormatPr baseColWidth="10" defaultRowHeight="14.4" x14ac:dyDescent="0.3"/>
  <cols>
    <col min="2" max="2" width="18.5546875" customWidth="1"/>
    <col min="3" max="3" width="22" customWidth="1"/>
    <col min="4" max="4" width="21" customWidth="1"/>
    <col min="5" max="5" width="26.44140625" customWidth="1"/>
    <col min="6" max="6" width="24.5546875" customWidth="1"/>
  </cols>
  <sheetData>
    <row r="1" spans="1:7" x14ac:dyDescent="0.3">
      <c r="A1" s="126" t="str">
        <f>'FALL 5'!O2</f>
        <v>BESCHRIFTUNG</v>
      </c>
      <c r="B1" s="126"/>
      <c r="C1" s="126" t="str">
        <f>'FALL 5'!Q2</f>
        <v>FALL E</v>
      </c>
      <c r="D1" s="126" t="str">
        <f>'FALL 5'!R2</f>
        <v>DATUM:</v>
      </c>
      <c r="E1" s="129"/>
      <c r="F1" s="126"/>
      <c r="G1" s="126"/>
    </row>
    <row r="2" spans="1:7" x14ac:dyDescent="0.3">
      <c r="A2" s="121"/>
      <c r="B2" s="115" t="str">
        <f ca="1">'FALL 5'!P3</f>
        <v/>
      </c>
      <c r="C2" s="115" t="str">
        <f ca="1">'FALL 5'!Q3</f>
        <v/>
      </c>
      <c r="D2" s="117" t="str">
        <f ca="1">'FALL 5'!R3</f>
        <v/>
      </c>
      <c r="E2" s="116" t="str">
        <f ca="1">'FALL 5'!S3</f>
        <v/>
      </c>
      <c r="F2" s="116" t="str">
        <f ca="1">'FALL 5'!T3</f>
        <v/>
      </c>
      <c r="G2" s="121"/>
    </row>
    <row r="3" spans="1:7" x14ac:dyDescent="0.3">
      <c r="A3" s="121"/>
      <c r="B3" s="115" t="str">
        <f ca="1">'FALL 5'!P4</f>
        <v/>
      </c>
      <c r="C3" s="115" t="str">
        <f ca="1">'FALL 5'!Q4</f>
        <v/>
      </c>
      <c r="D3" s="117" t="str">
        <f ca="1">'FALL 5'!R4</f>
        <v/>
      </c>
      <c r="E3" s="116" t="str">
        <f ca="1">'FALL 5'!S4</f>
        <v/>
      </c>
      <c r="F3" s="116" t="str">
        <f ca="1">'FALL 5'!T4</f>
        <v/>
      </c>
      <c r="G3" s="121"/>
    </row>
    <row r="4" spans="1:7" x14ac:dyDescent="0.3">
      <c r="A4" s="121"/>
      <c r="B4" s="115" t="str">
        <f ca="1">'FALL 5'!P5</f>
        <v/>
      </c>
      <c r="C4" s="115" t="str">
        <f ca="1">'FALL 5'!Q5</f>
        <v/>
      </c>
      <c r="D4" s="117" t="str">
        <f ca="1">'FALL 5'!R5</f>
        <v/>
      </c>
      <c r="E4" s="116" t="str">
        <f ca="1">'FALL 5'!S5</f>
        <v/>
      </c>
      <c r="F4" s="116" t="str">
        <f ca="1">'FALL 5'!T5</f>
        <v/>
      </c>
      <c r="G4" s="121"/>
    </row>
    <row r="5" spans="1:7" x14ac:dyDescent="0.3">
      <c r="A5" s="121"/>
      <c r="B5" s="115" t="str">
        <f ca="1">'FALL 5'!P6</f>
        <v/>
      </c>
      <c r="C5" s="115" t="str">
        <f ca="1">'FALL 5'!Q6</f>
        <v/>
      </c>
      <c r="D5" s="117" t="str">
        <f ca="1">'FALL 5'!R6</f>
        <v/>
      </c>
      <c r="E5" s="116" t="str">
        <f ca="1">'FALL 5'!S6</f>
        <v/>
      </c>
      <c r="F5" s="116" t="str">
        <f ca="1">'FALL 5'!T6</f>
        <v/>
      </c>
      <c r="G5" s="121"/>
    </row>
    <row r="6" spans="1:7" x14ac:dyDescent="0.3">
      <c r="A6" s="121"/>
      <c r="B6" s="115" t="str">
        <f ca="1">'FALL 5'!P7</f>
        <v/>
      </c>
      <c r="C6" s="115" t="str">
        <f ca="1">'FALL 5'!Q7</f>
        <v/>
      </c>
      <c r="D6" s="117" t="str">
        <f ca="1">'FALL 5'!R7</f>
        <v/>
      </c>
      <c r="E6" s="116" t="str">
        <f ca="1">'FALL 5'!S7</f>
        <v/>
      </c>
      <c r="F6" s="116" t="str">
        <f ca="1">'FALL 5'!T7</f>
        <v/>
      </c>
      <c r="G6" s="121"/>
    </row>
    <row r="7" spans="1:7" x14ac:dyDescent="0.3">
      <c r="A7" s="121"/>
      <c r="B7" s="115" t="str">
        <f ca="1">'FALL 5'!P8</f>
        <v/>
      </c>
      <c r="C7" s="115" t="str">
        <f ca="1">'FALL 5'!Q8</f>
        <v/>
      </c>
      <c r="D7" s="117" t="str">
        <f ca="1">'FALL 5'!R8</f>
        <v/>
      </c>
      <c r="E7" s="116" t="str">
        <f ca="1">'FALL 5'!S8</f>
        <v/>
      </c>
      <c r="F7" s="116" t="str">
        <f ca="1">'FALL 5'!T8</f>
        <v/>
      </c>
      <c r="G7" s="121"/>
    </row>
    <row r="8" spans="1:7" x14ac:dyDescent="0.3">
      <c r="A8" s="121"/>
      <c r="B8" s="115" t="str">
        <f ca="1">'FALL 5'!P9</f>
        <v/>
      </c>
      <c r="C8" s="115" t="str">
        <f ca="1">'FALL 5'!Q9</f>
        <v/>
      </c>
      <c r="D8" s="117" t="str">
        <f ca="1">'FALL 5'!R9</f>
        <v/>
      </c>
      <c r="E8" s="116" t="str">
        <f ca="1">'FALL 5'!S9</f>
        <v/>
      </c>
      <c r="F8" s="116" t="str">
        <f ca="1">'FALL 5'!T9</f>
        <v/>
      </c>
      <c r="G8" s="121"/>
    </row>
    <row r="9" spans="1:7" x14ac:dyDescent="0.3">
      <c r="A9" s="121"/>
      <c r="B9" s="115" t="str">
        <f ca="1">'FALL 5'!P10</f>
        <v/>
      </c>
      <c r="C9" s="115" t="str">
        <f ca="1">'FALL 5'!Q10</f>
        <v/>
      </c>
      <c r="D9" s="117" t="str">
        <f ca="1">'FALL 5'!R10</f>
        <v/>
      </c>
      <c r="E9" s="116" t="str">
        <f ca="1">'FALL 5'!S10</f>
        <v/>
      </c>
      <c r="F9" s="116" t="str">
        <f ca="1">'FALL 5'!T10</f>
        <v/>
      </c>
      <c r="G9" s="121"/>
    </row>
    <row r="10" spans="1:7" x14ac:dyDescent="0.3">
      <c r="A10" s="121"/>
      <c r="B10" s="115" t="str">
        <f ca="1">'FALL 5'!P11</f>
        <v/>
      </c>
      <c r="C10" s="115" t="str">
        <f ca="1">'FALL 5'!Q11</f>
        <v/>
      </c>
      <c r="D10" s="117" t="str">
        <f ca="1">'FALL 5'!R11</f>
        <v/>
      </c>
      <c r="E10" s="116" t="str">
        <f ca="1">'FALL 5'!S11</f>
        <v/>
      </c>
      <c r="F10" s="116" t="str">
        <f ca="1">'FALL 5'!T11</f>
        <v/>
      </c>
      <c r="G10" s="121"/>
    </row>
    <row r="11" spans="1:7" ht="21" x14ac:dyDescent="0.4">
      <c r="A11" s="122"/>
      <c r="B11" s="115" t="str">
        <f ca="1">'FALL 5'!P12</f>
        <v/>
      </c>
      <c r="C11" s="115" t="str">
        <f ca="1">'FALL 5'!Q12</f>
        <v/>
      </c>
      <c r="D11" s="123" t="str">
        <f>'FALL 5'!R12</f>
        <v>●</v>
      </c>
      <c r="E11" s="116" t="str">
        <f ca="1">'FALL 5'!S12</f>
        <v/>
      </c>
      <c r="F11" s="116" t="str">
        <f ca="1">'FALL 5'!T12</f>
        <v/>
      </c>
      <c r="G11" s="124" t="str">
        <f>'FALL 5'!U12</f>
        <v>●</v>
      </c>
    </row>
    <row r="12" spans="1:7" x14ac:dyDescent="0.3">
      <c r="A12" s="121"/>
      <c r="B12" s="115" t="str">
        <f ca="1">'FALL 5'!P13</f>
        <v/>
      </c>
      <c r="C12" s="115" t="str">
        <f ca="1">'FALL 5'!Q13</f>
        <v/>
      </c>
      <c r="D12" s="117" t="str">
        <f ca="1">'FALL 5'!R13</f>
        <v/>
      </c>
      <c r="E12" s="116" t="str">
        <f ca="1">'FALL 5'!S13</f>
        <v/>
      </c>
      <c r="F12" s="116" t="str">
        <f ca="1">'FALL 5'!T13</f>
        <v/>
      </c>
      <c r="G12" s="121"/>
    </row>
    <row r="13" spans="1:7" x14ac:dyDescent="0.3">
      <c r="A13" s="121"/>
      <c r="B13" s="115" t="str">
        <f ca="1">'FALL 5'!P14</f>
        <v/>
      </c>
      <c r="C13" s="115" t="str">
        <f ca="1">'FALL 5'!Q14</f>
        <v/>
      </c>
      <c r="D13" s="117" t="str">
        <f ca="1">'FALL 5'!R14</f>
        <v/>
      </c>
      <c r="E13" s="116" t="str">
        <f ca="1">'FALL 5'!S14</f>
        <v/>
      </c>
      <c r="F13" s="116" t="str">
        <f ca="1">'FALL 5'!T14</f>
        <v/>
      </c>
      <c r="G13" s="121"/>
    </row>
    <row r="14" spans="1:7" x14ac:dyDescent="0.3">
      <c r="A14" s="121"/>
      <c r="B14" s="115" t="str">
        <f ca="1">'FALL 5'!P15</f>
        <v/>
      </c>
      <c r="C14" s="115" t="str">
        <f ca="1">'FALL 5'!Q15</f>
        <v/>
      </c>
      <c r="D14" s="117" t="str">
        <f ca="1">'FALL 5'!R15</f>
        <v/>
      </c>
      <c r="E14" s="116" t="str">
        <f ca="1">'FALL 5'!S15</f>
        <v/>
      </c>
      <c r="F14" s="116" t="str">
        <f ca="1">'FALL 5'!T15</f>
        <v/>
      </c>
      <c r="G14" s="121"/>
    </row>
    <row r="15" spans="1:7" x14ac:dyDescent="0.3">
      <c r="A15" s="121"/>
      <c r="B15" s="115" t="str">
        <f ca="1">'FALL 5'!P16</f>
        <v/>
      </c>
      <c r="C15" s="115">
        <f ca="1">'FALL 5'!Q16</f>
        <v>26.8</v>
      </c>
      <c r="D15" s="117" t="str">
        <f ca="1">'FALL 5'!R16</f>
        <v/>
      </c>
      <c r="E15" s="116" t="str">
        <f ca="1">'FALL 5'!S16</f>
        <v/>
      </c>
      <c r="F15" s="116" t="str">
        <f ca="1">'FALL 5'!T16</f>
        <v/>
      </c>
      <c r="G15" s="121"/>
    </row>
    <row r="16" spans="1:7" x14ac:dyDescent="0.3">
      <c r="A16" s="121"/>
      <c r="B16" s="115" t="str">
        <f ca="1">'FALL 5'!P17</f>
        <v/>
      </c>
      <c r="C16" s="115" t="str">
        <f ca="1">'FALL 5'!Q17</f>
        <v/>
      </c>
      <c r="D16" s="117" t="str">
        <f ca="1">'FALL 5'!R17</f>
        <v/>
      </c>
      <c r="E16" s="116" t="str">
        <f ca="1">'FALL 5'!S17</f>
        <v/>
      </c>
      <c r="F16" s="116" t="str">
        <f ca="1">'FALL 5'!T17</f>
        <v/>
      </c>
      <c r="G16" s="121"/>
    </row>
    <row r="17" spans="1:7" x14ac:dyDescent="0.3">
      <c r="A17" s="121"/>
      <c r="B17" s="115" t="str">
        <f ca="1">'FALL 5'!P18</f>
        <v/>
      </c>
      <c r="C17" s="115" t="str">
        <f ca="1">'FALL 5'!Q18</f>
        <v/>
      </c>
      <c r="D17" s="117" t="str">
        <f ca="1">'FALL 5'!R18</f>
        <v/>
      </c>
      <c r="E17" s="116" t="str">
        <f ca="1">'FALL 5'!S18</f>
        <v/>
      </c>
      <c r="F17" s="116" t="str">
        <f ca="1">'FALL 5'!T18</f>
        <v/>
      </c>
      <c r="G17" s="121"/>
    </row>
    <row r="18" spans="1:7" x14ac:dyDescent="0.3">
      <c r="A18" s="121"/>
      <c r="B18" s="115" t="str">
        <f ca="1">'FALL 5'!P19</f>
        <v/>
      </c>
      <c r="C18" s="115" t="str">
        <f ca="1">'FALL 5'!Q19</f>
        <v/>
      </c>
      <c r="D18" s="117" t="str">
        <f ca="1">'FALL 5'!R19</f>
        <v/>
      </c>
      <c r="E18" s="116" t="str">
        <f ca="1">'FALL 5'!S19</f>
        <v/>
      </c>
      <c r="F18" s="116" t="str">
        <f ca="1">'FALL 5'!T19</f>
        <v/>
      </c>
      <c r="G18" s="121"/>
    </row>
    <row r="19" spans="1:7" x14ac:dyDescent="0.3">
      <c r="A19" s="121"/>
      <c r="B19" s="115" t="str">
        <f ca="1">'FALL 5'!P20</f>
        <v/>
      </c>
      <c r="C19" s="115" t="str">
        <f ca="1">'FALL 5'!Q20</f>
        <v/>
      </c>
      <c r="D19" s="117" t="str">
        <f ca="1">'FALL 5'!R20</f>
        <v/>
      </c>
      <c r="E19" s="116" t="str">
        <f ca="1">'FALL 5'!S20</f>
        <v/>
      </c>
      <c r="F19" s="116" t="str">
        <f ca="1">'FALL 5'!T20</f>
        <v/>
      </c>
      <c r="G19" s="121"/>
    </row>
    <row r="20" spans="1:7" x14ac:dyDescent="0.3">
      <c r="A20" s="121"/>
      <c r="B20" s="115" t="str">
        <f ca="1">'FALL 5'!P21</f>
        <v/>
      </c>
      <c r="C20" s="115" t="str">
        <f ca="1">'FALL 5'!Q21</f>
        <v/>
      </c>
      <c r="D20" s="117" t="str">
        <f ca="1">'FALL 5'!R21</f>
        <v/>
      </c>
      <c r="E20" s="116" t="str">
        <f ca="1">'FALL 5'!S21</f>
        <v/>
      </c>
      <c r="F20" s="116" t="str">
        <f ca="1">'FALL 5'!T21</f>
        <v/>
      </c>
      <c r="G20" s="121"/>
    </row>
    <row r="21" spans="1:7" x14ac:dyDescent="0.3">
      <c r="A21" s="121"/>
      <c r="B21" s="115" t="str">
        <f ca="1">'FALL 5'!P22</f>
        <v/>
      </c>
      <c r="C21" s="115" t="str">
        <f ca="1">'FALL 5'!Q22</f>
        <v/>
      </c>
      <c r="D21" s="117" t="str">
        <f ca="1">'FALL 5'!R22</f>
        <v/>
      </c>
      <c r="E21" s="116" t="str">
        <f ca="1">'FALL 5'!S22</f>
        <v/>
      </c>
      <c r="F21" s="116" t="str">
        <f ca="1">'FALL 5'!T22</f>
        <v/>
      </c>
      <c r="G21" s="121"/>
    </row>
  </sheetData>
  <dataValidations count="1">
    <dataValidation type="whole" operator="equal" allowBlank="1" showInputMessage="1" showErrorMessage="1" sqref="B2:F21 A11 G11" xr:uid="{57E09E67-3E0C-4A42-B7F5-D4F51E3F47B7}">
      <formula1>100000</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AA06-CCA6-4AF8-B0F1-12B36FA3CC89}">
  <dimension ref="A1:G21"/>
  <sheetViews>
    <sheetView zoomScale="147" workbookViewId="0">
      <selection activeCell="C19" sqref="C19"/>
    </sheetView>
  </sheetViews>
  <sheetFormatPr baseColWidth="10" defaultRowHeight="14.4" x14ac:dyDescent="0.3"/>
  <cols>
    <col min="2" max="2" width="22.88671875" customWidth="1"/>
    <col min="3" max="3" width="23.44140625" customWidth="1"/>
    <col min="4" max="4" width="23.109375" customWidth="1"/>
    <col min="5" max="5" width="21.6640625" customWidth="1"/>
    <col min="6" max="6" width="24.109375" customWidth="1"/>
  </cols>
  <sheetData>
    <row r="1" spans="1:7" x14ac:dyDescent="0.3">
      <c r="A1" s="118" t="str">
        <f>'FALL 6'!O2</f>
        <v>BESCHRIFTUNG</v>
      </c>
      <c r="B1" s="118"/>
      <c r="C1" s="118" t="str">
        <f>'FALL 6'!Q2</f>
        <v>FALL GV</v>
      </c>
      <c r="D1" s="118" t="str">
        <f>'FALL 6'!R2</f>
        <v>DATUM:</v>
      </c>
      <c r="E1" s="130"/>
      <c r="F1" s="118"/>
      <c r="G1" s="118"/>
    </row>
    <row r="2" spans="1:7" x14ac:dyDescent="0.3">
      <c r="A2" s="121"/>
      <c r="B2" s="115" t="str">
        <f ca="1">'FALL 6'!P3</f>
        <v/>
      </c>
      <c r="C2" s="115" t="str">
        <f ca="1">'FALL 6'!Q3</f>
        <v/>
      </c>
      <c r="D2" s="117" t="str">
        <f ca="1">'FALL 6'!R3</f>
        <v/>
      </c>
      <c r="E2" s="116" t="str">
        <f ca="1">'FALL 6'!S3</f>
        <v/>
      </c>
      <c r="F2" s="116" t="str">
        <f ca="1">'FALL 6'!T3</f>
        <v/>
      </c>
      <c r="G2" s="121"/>
    </row>
    <row r="3" spans="1:7" x14ac:dyDescent="0.3">
      <c r="A3" s="121"/>
      <c r="B3" s="115" t="str">
        <f ca="1">'FALL 6'!P4</f>
        <v/>
      </c>
      <c r="C3" s="115" t="str">
        <f ca="1">'FALL 6'!Q4</f>
        <v/>
      </c>
      <c r="D3" s="117" t="str">
        <f ca="1">'FALL 6'!R4</f>
        <v/>
      </c>
      <c r="E3" s="116" t="str">
        <f ca="1">'FALL 6'!S4</f>
        <v/>
      </c>
      <c r="F3" s="116" t="str">
        <f ca="1">'FALL 6'!T4</f>
        <v/>
      </c>
      <c r="G3" s="121"/>
    </row>
    <row r="4" spans="1:7" x14ac:dyDescent="0.3">
      <c r="A4" s="121"/>
      <c r="B4" s="115" t="str">
        <f ca="1">'FALL 6'!P5</f>
        <v/>
      </c>
      <c r="C4" s="115" t="str">
        <f ca="1">'FALL 6'!Q5</f>
        <v/>
      </c>
      <c r="D4" s="117" t="str">
        <f ca="1">'FALL 6'!R5</f>
        <v/>
      </c>
      <c r="E4" s="116" t="str">
        <f ca="1">'FALL 6'!S5</f>
        <v/>
      </c>
      <c r="F4" s="116" t="str">
        <f ca="1">'FALL 6'!T5</f>
        <v/>
      </c>
      <c r="G4" s="121"/>
    </row>
    <row r="5" spans="1:7" x14ac:dyDescent="0.3">
      <c r="A5" s="121"/>
      <c r="B5" s="115" t="str">
        <f ca="1">'FALL 6'!P6</f>
        <v/>
      </c>
      <c r="C5" s="115" t="str">
        <f ca="1">'FALL 6'!Q6</f>
        <v/>
      </c>
      <c r="D5" s="117" t="str">
        <f ca="1">'FALL 6'!R6</f>
        <v/>
      </c>
      <c r="E5" s="116" t="str">
        <f ca="1">'FALL 6'!S6</f>
        <v/>
      </c>
      <c r="F5" s="116" t="str">
        <f ca="1">'FALL 6'!T6</f>
        <v/>
      </c>
      <c r="G5" s="121"/>
    </row>
    <row r="6" spans="1:7" x14ac:dyDescent="0.3">
      <c r="A6" s="121"/>
      <c r="B6" s="115" t="str">
        <f ca="1">'FALL 6'!P7</f>
        <v/>
      </c>
      <c r="C6" s="115" t="str">
        <f ca="1">'FALL 6'!Q7</f>
        <v/>
      </c>
      <c r="D6" s="117" t="str">
        <f ca="1">'FALL 6'!R7</f>
        <v/>
      </c>
      <c r="E6" s="116" t="str">
        <f ca="1">'FALL 6'!S7</f>
        <v/>
      </c>
      <c r="F6" s="116" t="str">
        <f ca="1">'FALL 6'!T7</f>
        <v/>
      </c>
      <c r="G6" s="121"/>
    </row>
    <row r="7" spans="1:7" x14ac:dyDescent="0.3">
      <c r="A7" s="121"/>
      <c r="B7" s="115" t="str">
        <f ca="1">'FALL 6'!P8</f>
        <v/>
      </c>
      <c r="C7" s="115" t="str">
        <f ca="1">'FALL 6'!Q8</f>
        <v/>
      </c>
      <c r="D7" s="117" t="str">
        <f ca="1">'FALL 6'!R8</f>
        <v/>
      </c>
      <c r="E7" s="116" t="str">
        <f ca="1">'FALL 6'!S8</f>
        <v/>
      </c>
      <c r="F7" s="116" t="str">
        <f ca="1">'FALL 6'!T8</f>
        <v/>
      </c>
      <c r="G7" s="121"/>
    </row>
    <row r="8" spans="1:7" x14ac:dyDescent="0.3">
      <c r="A8" s="121"/>
      <c r="B8" s="115" t="str">
        <f ca="1">'FALL 6'!P9</f>
        <v/>
      </c>
      <c r="C8" s="115" t="str">
        <f ca="1">'FALL 6'!Q9</f>
        <v/>
      </c>
      <c r="D8" s="117" t="str">
        <f ca="1">'FALL 6'!R9</f>
        <v/>
      </c>
      <c r="E8" s="116" t="str">
        <f ca="1">'FALL 6'!S9</f>
        <v/>
      </c>
      <c r="F8" s="116" t="str">
        <f ca="1">'FALL 6'!T9</f>
        <v/>
      </c>
      <c r="G8" s="121"/>
    </row>
    <row r="9" spans="1:7" x14ac:dyDescent="0.3">
      <c r="A9" s="121"/>
      <c r="B9" s="115" t="str">
        <f ca="1">'FALL 6'!P10</f>
        <v/>
      </c>
      <c r="C9" s="115" t="str">
        <f ca="1">'FALL 6'!Q10</f>
        <v/>
      </c>
      <c r="D9" s="117" t="str">
        <f ca="1">'FALL 6'!R10</f>
        <v/>
      </c>
      <c r="E9" s="116" t="str">
        <f ca="1">'FALL 6'!S10</f>
        <v/>
      </c>
      <c r="F9" s="116" t="str">
        <f ca="1">'FALL 6'!T10</f>
        <v/>
      </c>
      <c r="G9" s="121"/>
    </row>
    <row r="10" spans="1:7" x14ac:dyDescent="0.3">
      <c r="A10" s="121"/>
      <c r="B10" s="115" t="str">
        <f ca="1">'FALL 6'!P11</f>
        <v/>
      </c>
      <c r="C10" s="115" t="str">
        <f ca="1">'FALL 6'!Q11</f>
        <v/>
      </c>
      <c r="D10" s="117" t="str">
        <f ca="1">'FALL 6'!R11</f>
        <v/>
      </c>
      <c r="E10" s="116" t="str">
        <f ca="1">'FALL 6'!S11</f>
        <v/>
      </c>
      <c r="F10" s="116" t="str">
        <f ca="1">'FALL 6'!T11</f>
        <v/>
      </c>
      <c r="G10" s="121"/>
    </row>
    <row r="11" spans="1:7" ht="21" x14ac:dyDescent="0.4">
      <c r="A11" s="131" t="str">
        <f>'FALL 6'!O12</f>
        <v>●</v>
      </c>
      <c r="B11" s="115" t="str">
        <f ca="1">'FALL 6'!P12</f>
        <v/>
      </c>
      <c r="C11" s="115" t="str">
        <f ca="1">'FALL 6'!Q12</f>
        <v/>
      </c>
      <c r="D11" s="133" t="str">
        <f>'FALL 6'!R12</f>
        <v>●</v>
      </c>
      <c r="E11" s="116" t="str">
        <f ca="1">'FALL 6'!S12</f>
        <v/>
      </c>
      <c r="F11" s="116" t="str">
        <f ca="1">'FALL 6'!T12</f>
        <v/>
      </c>
      <c r="G11" s="132" t="str">
        <f>'FALL 6'!U12</f>
        <v>●</v>
      </c>
    </row>
    <row r="12" spans="1:7" x14ac:dyDescent="0.3">
      <c r="A12" s="121"/>
      <c r="B12" s="115" t="str">
        <f ca="1">'FALL 6'!P13</f>
        <v/>
      </c>
      <c r="C12" s="115" t="str">
        <f ca="1">'FALL 6'!Q13</f>
        <v/>
      </c>
      <c r="D12" s="117" t="str">
        <f ca="1">'FALL 6'!R13</f>
        <v/>
      </c>
      <c r="E12" s="116" t="str">
        <f ca="1">'FALL 6'!S13</f>
        <v/>
      </c>
      <c r="F12" s="116" t="str">
        <f ca="1">'FALL 6'!T13</f>
        <v/>
      </c>
      <c r="G12" s="121"/>
    </row>
    <row r="13" spans="1:7" x14ac:dyDescent="0.3">
      <c r="A13" s="121"/>
      <c r="B13" s="115" t="str">
        <f ca="1">'FALL 6'!P14</f>
        <v/>
      </c>
      <c r="C13" s="115" t="str">
        <f ca="1">'FALL 6'!Q14</f>
        <v/>
      </c>
      <c r="D13" s="117" t="str">
        <f ca="1">'FALL 6'!R14</f>
        <v/>
      </c>
      <c r="E13" s="116" t="str">
        <f ca="1">'FALL 6'!S14</f>
        <v/>
      </c>
      <c r="F13" s="116" t="str">
        <f ca="1">'FALL 6'!T14</f>
        <v/>
      </c>
      <c r="G13" s="121"/>
    </row>
    <row r="14" spans="1:7" x14ac:dyDescent="0.3">
      <c r="A14" s="121"/>
      <c r="B14" s="115" t="str">
        <f ca="1">'FALL 6'!P15</f>
        <v/>
      </c>
      <c r="C14" s="115" t="str">
        <f ca="1">'FALL 6'!Q15</f>
        <v/>
      </c>
      <c r="D14" s="117" t="str">
        <f ca="1">'FALL 6'!R15</f>
        <v/>
      </c>
      <c r="E14" s="116" t="str">
        <f ca="1">'FALL 6'!S15</f>
        <v/>
      </c>
      <c r="F14" s="116" t="str">
        <f ca="1">'FALL 6'!T15</f>
        <v/>
      </c>
      <c r="G14" s="121"/>
    </row>
    <row r="15" spans="1:7" x14ac:dyDescent="0.3">
      <c r="A15" s="121"/>
      <c r="B15" s="115" t="str">
        <f ca="1">'FALL 6'!P16</f>
        <v/>
      </c>
      <c r="C15" s="115" t="str">
        <f ca="1">'FALL 6'!Q16</f>
        <v/>
      </c>
      <c r="D15" s="117" t="str">
        <f ca="1">'FALL 6'!R16</f>
        <v/>
      </c>
      <c r="E15" s="116" t="str">
        <f ca="1">'FALL 6'!S16</f>
        <v/>
      </c>
      <c r="F15" s="116" t="str">
        <f ca="1">'FALL 6'!T16</f>
        <v/>
      </c>
      <c r="G15" s="121"/>
    </row>
    <row r="16" spans="1:7" x14ac:dyDescent="0.3">
      <c r="A16" s="121"/>
      <c r="B16" s="115" t="str">
        <f ca="1">'FALL 6'!P17</f>
        <v/>
      </c>
      <c r="C16" s="115" t="str">
        <f ca="1">'FALL 6'!Q17</f>
        <v/>
      </c>
      <c r="D16" s="117" t="str">
        <f ca="1">'FALL 6'!R17</f>
        <v/>
      </c>
      <c r="E16" s="116" t="str">
        <f ca="1">'FALL 6'!S17</f>
        <v/>
      </c>
      <c r="F16" s="116" t="str">
        <f ca="1">'FALL 6'!T17</f>
        <v/>
      </c>
      <c r="G16" s="121"/>
    </row>
    <row r="17" spans="1:7" x14ac:dyDescent="0.3">
      <c r="A17" s="121"/>
      <c r="B17" s="115" t="str">
        <f ca="1">'FALL 6'!P18</f>
        <v/>
      </c>
      <c r="C17" s="115" t="str">
        <f ca="1">'FALL 6'!Q18</f>
        <v/>
      </c>
      <c r="D17" s="117" t="str">
        <f ca="1">'FALL 6'!R18</f>
        <v/>
      </c>
      <c r="E17" s="116" t="str">
        <f ca="1">'FALL 6'!S18</f>
        <v/>
      </c>
      <c r="F17" s="116" t="str">
        <f ca="1">'FALL 6'!T18</f>
        <v/>
      </c>
      <c r="G17" s="121"/>
    </row>
    <row r="18" spans="1:7" x14ac:dyDescent="0.3">
      <c r="A18" s="121"/>
      <c r="B18" s="115" t="str">
        <f ca="1">'FALL 6'!P19</f>
        <v/>
      </c>
      <c r="C18" s="115" t="str">
        <f ca="1">'FALL 6'!Q19</f>
        <v/>
      </c>
      <c r="D18" s="117" t="str">
        <f ca="1">'FALL 6'!R19</f>
        <v/>
      </c>
      <c r="E18" s="116" t="str">
        <f ca="1">'FALL 6'!S19</f>
        <v/>
      </c>
      <c r="F18" s="116" t="str">
        <f ca="1">'FALL 6'!T19</f>
        <v/>
      </c>
      <c r="G18" s="121"/>
    </row>
    <row r="19" spans="1:7" x14ac:dyDescent="0.3">
      <c r="A19" s="121"/>
      <c r="B19" s="115" t="str">
        <f ca="1">'FALL 6'!P20</f>
        <v/>
      </c>
      <c r="C19" s="115" t="str">
        <f ca="1">'FALL 6'!Q20</f>
        <v/>
      </c>
      <c r="D19" s="117" t="str">
        <f ca="1">'FALL 6'!R20</f>
        <v/>
      </c>
      <c r="E19" s="116" t="str">
        <f ca="1">'FALL 6'!S20</f>
        <v/>
      </c>
      <c r="F19" s="116">
        <f ca="1">'FALL 6'!T20</f>
        <v>48.9</v>
      </c>
      <c r="G19" s="121"/>
    </row>
    <row r="20" spans="1:7" x14ac:dyDescent="0.3">
      <c r="A20" s="121"/>
      <c r="B20" s="115" t="str">
        <f ca="1">'FALL 6'!P21</f>
        <v/>
      </c>
      <c r="C20" s="115" t="str">
        <f ca="1">'FALL 6'!Q21</f>
        <v/>
      </c>
      <c r="D20" s="117" t="str">
        <f ca="1">'FALL 6'!R21</f>
        <v/>
      </c>
      <c r="E20" s="116" t="str">
        <f ca="1">'FALL 6'!S21</f>
        <v/>
      </c>
      <c r="F20" s="116" t="str">
        <f ca="1">'FALL 6'!T21</f>
        <v/>
      </c>
      <c r="G20" s="121"/>
    </row>
    <row r="21" spans="1:7" x14ac:dyDescent="0.3">
      <c r="A21" s="121"/>
      <c r="B21" s="115" t="str">
        <f ca="1">'FALL 6'!P22</f>
        <v/>
      </c>
      <c r="C21" s="115" t="str">
        <f ca="1">'FALL 6'!Q22</f>
        <v/>
      </c>
      <c r="D21" s="117" t="str">
        <f ca="1">'FALL 6'!R22</f>
        <v/>
      </c>
      <c r="E21" s="116" t="str">
        <f ca="1">'FALL 6'!S22</f>
        <v/>
      </c>
      <c r="F21" s="116" t="str">
        <f ca="1">'FALL 6'!T22</f>
        <v/>
      </c>
      <c r="G21" s="121"/>
    </row>
  </sheetData>
  <dataValidations count="1">
    <dataValidation type="whole" operator="equal" allowBlank="1" showInputMessage="1" showErrorMessage="1" sqref="B2:F21 G11 A11" xr:uid="{B5333FC1-DAE4-4C34-8DCC-8CEE866B637A}">
      <formula1>100000</formula1>
    </dataValidation>
  </dataValidation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3D717-EF7A-429E-9B8F-560BF1E39880}">
  <dimension ref="A1:AO740"/>
  <sheetViews>
    <sheetView topLeftCell="O2" zoomScale="137" workbookViewId="0">
      <selection activeCell="O2" sqref="O2:U22"/>
    </sheetView>
  </sheetViews>
  <sheetFormatPr baseColWidth="10" defaultRowHeight="14.4" x14ac:dyDescent="0.3"/>
  <cols>
    <col min="1" max="1" width="38.44140625" style="9" customWidth="1"/>
    <col min="2" max="2" width="19.6640625" style="9" customWidth="1"/>
    <col min="3" max="3" width="27.6640625" style="9" customWidth="1"/>
    <col min="4" max="4" width="30" style="9" customWidth="1"/>
    <col min="5" max="5" width="16.21875" style="9" customWidth="1"/>
    <col min="6" max="6" width="13" style="9" customWidth="1"/>
    <col min="7" max="7" width="12.33203125" style="9" customWidth="1"/>
    <col min="8" max="8" width="11.21875" style="9" customWidth="1"/>
    <col min="9" max="9" width="10.33203125" style="9" customWidth="1"/>
    <col min="10" max="10" width="11.5546875" style="9"/>
    <col min="11" max="11" width="10.77734375" style="9" customWidth="1"/>
    <col min="12" max="12" width="12.88671875" style="9" customWidth="1"/>
    <col min="13" max="14" width="11.5546875" style="9"/>
    <col min="15" max="15" width="14.5546875" style="9" customWidth="1"/>
    <col min="16" max="16" width="20.88671875" style="9" customWidth="1"/>
    <col min="17" max="17" width="19.109375" style="9" customWidth="1"/>
    <col min="18" max="18" width="20.77734375" style="9" customWidth="1"/>
    <col min="19" max="19" width="18.44140625" style="9" customWidth="1"/>
    <col min="20" max="20" width="17.6640625" style="9" customWidth="1"/>
    <col min="21" max="21" width="14.44140625" style="9" customWidth="1"/>
    <col min="22" max="16384" width="11.5546875" style="9"/>
  </cols>
  <sheetData>
    <row r="1" spans="1:24" ht="18" x14ac:dyDescent="0.35">
      <c r="A1" s="161" t="s">
        <v>57</v>
      </c>
      <c r="B1" s="169"/>
      <c r="C1" s="169"/>
      <c r="D1" s="170"/>
      <c r="E1" s="6"/>
      <c r="F1" s="7"/>
      <c r="G1" s="7"/>
      <c r="H1" s="7"/>
      <c r="I1" s="7"/>
      <c r="J1" s="7"/>
      <c r="K1" s="7"/>
      <c r="L1" s="7"/>
      <c r="M1" s="7"/>
      <c r="N1" s="8"/>
    </row>
    <row r="2" spans="1:24" ht="18" x14ac:dyDescent="0.35">
      <c r="A2" s="159" t="s">
        <v>58</v>
      </c>
      <c r="B2" s="171"/>
      <c r="C2" s="171"/>
      <c r="D2" s="172"/>
      <c r="E2" s="10" t="str">
        <f>'FALL 1'!E2</f>
        <v>BANDBREITE DER URNE von</v>
      </c>
      <c r="F2" s="11"/>
      <c r="G2" s="12">
        <f>'FALL 1'!G2</f>
        <v>1</v>
      </c>
      <c r="H2" s="13" t="str">
        <f>'FALL 1'!H2</f>
        <v>bis</v>
      </c>
      <c r="I2" s="12">
        <f>'FALL 1'!I2</f>
        <v>50</v>
      </c>
      <c r="J2" s="14"/>
      <c r="K2" s="14"/>
      <c r="L2" s="14"/>
      <c r="M2" s="14"/>
      <c r="N2" s="15"/>
      <c r="O2" s="16" t="s">
        <v>144</v>
      </c>
      <c r="P2" s="17"/>
      <c r="Q2" s="17" t="s">
        <v>149</v>
      </c>
      <c r="R2" s="17" t="s">
        <v>146</v>
      </c>
      <c r="S2" s="18"/>
      <c r="T2" s="17"/>
      <c r="U2" s="17"/>
    </row>
    <row r="3" spans="1:24" ht="15.6" customHeight="1" x14ac:dyDescent="0.45">
      <c r="A3" s="19"/>
      <c r="D3" s="20"/>
      <c r="E3" s="10" t="str">
        <f>'FALL 1'!E3</f>
        <v>ZUFALLSZAHLEN von</v>
      </c>
      <c r="F3" s="11"/>
      <c r="G3" s="12">
        <f>'FALL 1'!G3</f>
        <v>1</v>
      </c>
      <c r="H3" s="13" t="str">
        <f>'FALL 1'!H3</f>
        <v>bis</v>
      </c>
      <c r="I3" s="12">
        <f>'FALL 1'!I3</f>
        <v>50</v>
      </c>
      <c r="J3" s="164" t="str">
        <f>'FALL 1'!J3</f>
        <v>GEZOGENE ZUFALLSZAHLEN</v>
      </c>
      <c r="K3" s="165"/>
      <c r="L3" s="165"/>
      <c r="M3" s="166"/>
      <c r="N3" s="167"/>
      <c r="O3" s="21"/>
      <c r="P3" s="22" t="str">
        <f ca="1">IF($H$176=I74,I74,"")</f>
        <v/>
      </c>
      <c r="Q3" s="22" t="str">
        <f ca="1">IF($H$176=I94,I94,"")</f>
        <v/>
      </c>
      <c r="R3" s="23" t="str">
        <f ca="1">IF($H$176=I114,I114,"")</f>
        <v/>
      </c>
      <c r="S3" s="24" t="str">
        <f ca="1">IF($H$176=I134,I134,"")</f>
        <v/>
      </c>
      <c r="T3" s="24" t="str">
        <f ca="1">IF($H$176=I154,I154,"")</f>
        <v/>
      </c>
      <c r="U3" s="21"/>
    </row>
    <row r="4" spans="1:24" ht="15.6" x14ac:dyDescent="0.3">
      <c r="A4" s="25"/>
      <c r="D4" s="20"/>
      <c r="E4" s="157" t="str">
        <f>'FALL 1'!E4</f>
        <v>GEZOGENE ZUFALLSZAHLEN (unten):</v>
      </c>
      <c r="F4" s="158"/>
      <c r="G4" s="149"/>
      <c r="H4" s="13" t="str">
        <f>'FALL 1'!H4</f>
        <v>ANZAHL ZZ</v>
      </c>
      <c r="I4" s="12">
        <f>'FALL 1'!I4</f>
        <v>100</v>
      </c>
      <c r="J4" s="12"/>
      <c r="K4" s="12" t="str">
        <f>'FALL 4'!K4</f>
        <v>r für ZZ:</v>
      </c>
      <c r="L4" s="12">
        <f ca="1">$M$183</f>
        <v>0.99619635986906463</v>
      </c>
      <c r="M4" s="12" t="str">
        <f>'FALL 4'!M4</f>
        <v>r für ZZ:</v>
      </c>
      <c r="N4" s="26">
        <f ca="1">$R$183</f>
        <v>0.99592091441328545</v>
      </c>
      <c r="O4" s="21"/>
      <c r="P4" s="22" t="str">
        <f t="shared" ref="P4:P22" ca="1" si="0">IF($H$176=I75,I75,"")</f>
        <v/>
      </c>
      <c r="Q4" s="22" t="str">
        <f t="shared" ref="Q4:Q22" ca="1" si="1">IF($H$176=I95,I95,"")</f>
        <v/>
      </c>
      <c r="R4" s="23" t="str">
        <f t="shared" ref="R4:R11" ca="1" si="2">IF($H$176=I115,I115,"")</f>
        <v/>
      </c>
      <c r="S4" s="24" t="str">
        <f t="shared" ref="S4:S22" ca="1" si="3">IF($H$176=I135,I135,"")</f>
        <v/>
      </c>
      <c r="T4" s="24" t="str">
        <f t="shared" ref="T4:T22" ca="1" si="4">IF($H$176=I155,I155,"")</f>
        <v/>
      </c>
      <c r="U4" s="21"/>
    </row>
    <row r="5" spans="1:24" ht="15.6" x14ac:dyDescent="0.3">
      <c r="A5" s="19"/>
      <c r="B5" s="11"/>
      <c r="C5" s="11"/>
      <c r="D5" s="27"/>
      <c r="E5" s="152" t="str">
        <f>'FALL 1'!E5</f>
        <v>Ziehung 1 bis 20, sortiert</v>
      </c>
      <c r="F5" s="153"/>
      <c r="G5" s="155" t="str">
        <f>'FALL 1'!G5</f>
        <v>Ziehung 21 bis 40, sortiert</v>
      </c>
      <c r="H5" s="155"/>
      <c r="I5" s="154" t="str">
        <f>'FALL 1'!I5</f>
        <v>Ziehung 41 bis 60, sortiert</v>
      </c>
      <c r="J5" s="154"/>
      <c r="K5" s="155" t="str">
        <f>'FALL 1'!K5</f>
        <v>Ziehung 61 bis 80, sortiert</v>
      </c>
      <c r="L5" s="155"/>
      <c r="M5" s="155" t="str">
        <f>'FALL 1'!M5</f>
        <v>Ziehung 81 bis 100, sortiert</v>
      </c>
      <c r="N5" s="156"/>
      <c r="O5" s="21"/>
      <c r="P5" s="22" t="str">
        <f t="shared" ca="1" si="0"/>
        <v/>
      </c>
      <c r="Q5" s="22" t="str">
        <f t="shared" ca="1" si="1"/>
        <v/>
      </c>
      <c r="R5" s="23" t="str">
        <f t="shared" ca="1" si="2"/>
        <v/>
      </c>
      <c r="S5" s="24" t="str">
        <f t="shared" ca="1" si="3"/>
        <v/>
      </c>
      <c r="T5" s="24" t="str">
        <f t="shared" ca="1" si="4"/>
        <v/>
      </c>
      <c r="U5" s="21"/>
      <c r="V5" s="11"/>
      <c r="W5" s="11"/>
      <c r="X5" s="11"/>
    </row>
    <row r="6" spans="1:24" ht="15.6" x14ac:dyDescent="0.3">
      <c r="A6" s="19"/>
      <c r="B6" s="11"/>
      <c r="C6" s="11"/>
      <c r="D6" s="28"/>
      <c r="E6" s="29" t="str">
        <f>'FALL 1'!E6</f>
        <v>Zufallszahl</v>
      </c>
      <c r="F6" s="12" t="str">
        <f>'FALL 1'!F6</f>
        <v>ganze Zahl</v>
      </c>
      <c r="G6" s="12" t="str">
        <f>'FALL 1'!G6</f>
        <v>Zufallszahl</v>
      </c>
      <c r="H6" s="12" t="str">
        <f>'FALL 1'!H6</f>
        <v>ganze Zahl</v>
      </c>
      <c r="I6" s="12" t="str">
        <f>'FALL 1'!I6</f>
        <v>Zufallszahl</v>
      </c>
      <c r="J6" s="12" t="str">
        <f>'FALL 1'!J6</f>
        <v>ganze Zahl</v>
      </c>
      <c r="K6" s="30" t="str">
        <f>'FALL 1'!K6</f>
        <v>Zufallszahl</v>
      </c>
      <c r="L6" s="12" t="str">
        <f>'FALL 1'!L6</f>
        <v>ganze Zahl</v>
      </c>
      <c r="M6" s="30" t="str">
        <f>'FALL 1'!M6</f>
        <v>Zufallszahl</v>
      </c>
      <c r="N6" s="26" t="str">
        <f>'FALL 1'!N6</f>
        <v>ganze Zahl</v>
      </c>
      <c r="O6" s="21"/>
      <c r="P6" s="22" t="str">
        <f t="shared" ca="1" si="0"/>
        <v/>
      </c>
      <c r="Q6" s="22" t="str">
        <f t="shared" ca="1" si="1"/>
        <v/>
      </c>
      <c r="R6" s="23" t="str">
        <f t="shared" ca="1" si="2"/>
        <v/>
      </c>
      <c r="S6" s="24" t="str">
        <f t="shared" ca="1" si="3"/>
        <v/>
      </c>
      <c r="T6" s="24" t="str">
        <f t="shared" ca="1" si="4"/>
        <v/>
      </c>
      <c r="U6" s="21"/>
      <c r="V6" s="11"/>
      <c r="X6" s="11"/>
    </row>
    <row r="7" spans="1:24" ht="15.6" x14ac:dyDescent="0.3">
      <c r="A7" s="19"/>
      <c r="B7" s="11"/>
      <c r="C7" s="11"/>
      <c r="D7" s="28"/>
      <c r="E7" s="31">
        <f t="shared" ref="E7:E26" ca="1" si="5">I74</f>
        <v>2.1</v>
      </c>
      <c r="F7" s="13">
        <f ca="1">IF(E7="","",ROUND(E7,0))</f>
        <v>2</v>
      </c>
      <c r="G7" s="13">
        <f t="shared" ref="G7:G26" ca="1" si="6">I94</f>
        <v>10.8</v>
      </c>
      <c r="H7" s="13">
        <f ca="1">IF(G7="","",ROUND(G7,0))</f>
        <v>11</v>
      </c>
      <c r="I7" s="13">
        <f t="shared" ref="I7:I26" ca="1" si="7">I114</f>
        <v>17.7</v>
      </c>
      <c r="J7" s="13">
        <f ca="1">IF(I7="","",ROUND(I7,0))</f>
        <v>18</v>
      </c>
      <c r="K7" s="13">
        <f t="shared" ref="K7:K26" ca="1" si="8">I134</f>
        <v>28.2</v>
      </c>
      <c r="L7" s="13">
        <f ca="1">IF(K7="","",ROUND(K7,0))</f>
        <v>28</v>
      </c>
      <c r="M7" s="13">
        <f t="shared" ref="M7:M26" ca="1" si="9">I154</f>
        <v>38.299999999999997</v>
      </c>
      <c r="N7" s="32">
        <f ca="1">IF(M7="","",ROUND(M7,0))</f>
        <v>38</v>
      </c>
      <c r="O7" s="21"/>
      <c r="P7" s="22" t="str">
        <f t="shared" ca="1" si="0"/>
        <v/>
      </c>
      <c r="Q7" s="22" t="str">
        <f t="shared" ca="1" si="1"/>
        <v/>
      </c>
      <c r="R7" s="23" t="str">
        <f t="shared" ca="1" si="2"/>
        <v/>
      </c>
      <c r="S7" s="24" t="str">
        <f t="shared" ca="1" si="3"/>
        <v/>
      </c>
      <c r="T7" s="24" t="str">
        <f t="shared" ca="1" si="4"/>
        <v/>
      </c>
      <c r="U7" s="21"/>
      <c r="V7" s="11"/>
      <c r="X7" s="11"/>
    </row>
    <row r="8" spans="1:24" ht="15.6" x14ac:dyDescent="0.3">
      <c r="A8" s="19"/>
      <c r="B8" s="11"/>
      <c r="C8" s="11"/>
      <c r="D8" s="28"/>
      <c r="E8" s="31">
        <f t="shared" ca="1" si="5"/>
        <v>2.8</v>
      </c>
      <c r="F8" s="13">
        <f t="shared" ref="F8:F26" ca="1" si="10">IF(E8="","",ROUND(E8,0))</f>
        <v>3</v>
      </c>
      <c r="G8" s="13">
        <f t="shared" ca="1" si="6"/>
        <v>10.9</v>
      </c>
      <c r="H8" s="13">
        <f t="shared" ref="H8:H26" ca="1" si="11">IF(G8="","",ROUND(G8,0))</f>
        <v>11</v>
      </c>
      <c r="I8" s="13">
        <f t="shared" ca="1" si="7"/>
        <v>18.2</v>
      </c>
      <c r="J8" s="13">
        <f t="shared" ref="J8:J26" ca="1" si="12">IF(I8="","",ROUND(I8,0))</f>
        <v>18</v>
      </c>
      <c r="K8" s="13">
        <f t="shared" ca="1" si="8"/>
        <v>28.7</v>
      </c>
      <c r="L8" s="13">
        <f t="shared" ref="L8:L26" ca="1" si="13">IF(K8="","",ROUND(K8,0))</f>
        <v>29</v>
      </c>
      <c r="M8" s="13">
        <f t="shared" ca="1" si="9"/>
        <v>38.4</v>
      </c>
      <c r="N8" s="32">
        <f t="shared" ref="N8:N26" ca="1" si="14">IF(M8="","",ROUND(M8,0))</f>
        <v>38</v>
      </c>
      <c r="O8" s="21"/>
      <c r="P8" s="22" t="str">
        <f t="shared" ca="1" si="0"/>
        <v/>
      </c>
      <c r="Q8" s="22" t="str">
        <f t="shared" ca="1" si="1"/>
        <v/>
      </c>
      <c r="R8" s="23" t="str">
        <f t="shared" ca="1" si="2"/>
        <v/>
      </c>
      <c r="S8" s="24" t="str">
        <f t="shared" ca="1" si="3"/>
        <v/>
      </c>
      <c r="T8" s="24" t="str">
        <f t="shared" ca="1" si="4"/>
        <v/>
      </c>
      <c r="U8" s="21"/>
      <c r="V8" s="11"/>
      <c r="X8" s="11"/>
    </row>
    <row r="9" spans="1:24" ht="15.6" x14ac:dyDescent="0.3">
      <c r="A9" s="19"/>
      <c r="B9" s="11"/>
      <c r="C9" s="11"/>
      <c r="D9" s="28"/>
      <c r="E9" s="31">
        <f t="shared" ca="1" si="5"/>
        <v>2.8</v>
      </c>
      <c r="F9" s="13">
        <f t="shared" ca="1" si="10"/>
        <v>3</v>
      </c>
      <c r="G9" s="13">
        <f t="shared" ca="1" si="6"/>
        <v>11.1</v>
      </c>
      <c r="H9" s="13">
        <f t="shared" ca="1" si="11"/>
        <v>11</v>
      </c>
      <c r="I9" s="13">
        <f t="shared" ca="1" si="7"/>
        <v>20.100000000000001</v>
      </c>
      <c r="J9" s="13">
        <f t="shared" ca="1" si="12"/>
        <v>20</v>
      </c>
      <c r="K9" s="13">
        <f t="shared" ca="1" si="8"/>
        <v>29.2</v>
      </c>
      <c r="L9" s="13">
        <f t="shared" ca="1" si="13"/>
        <v>29</v>
      </c>
      <c r="M9" s="13">
        <f t="shared" ca="1" si="9"/>
        <v>38.5</v>
      </c>
      <c r="N9" s="32">
        <f t="shared" ca="1" si="14"/>
        <v>39</v>
      </c>
      <c r="O9" s="21"/>
      <c r="P9" s="22" t="str">
        <f t="shared" ca="1" si="0"/>
        <v/>
      </c>
      <c r="Q9" s="22" t="str">
        <f t="shared" ca="1" si="1"/>
        <v/>
      </c>
      <c r="R9" s="23" t="str">
        <f t="shared" ca="1" si="2"/>
        <v/>
      </c>
      <c r="S9" s="24" t="str">
        <f t="shared" ca="1" si="3"/>
        <v/>
      </c>
      <c r="T9" s="24" t="str">
        <f t="shared" ca="1" si="4"/>
        <v/>
      </c>
      <c r="U9" s="21"/>
      <c r="V9" s="11"/>
      <c r="X9" s="11"/>
    </row>
    <row r="10" spans="1:24" ht="15.6" x14ac:dyDescent="0.3">
      <c r="A10" s="19"/>
      <c r="B10" s="11"/>
      <c r="C10" s="11"/>
      <c r="D10" s="28"/>
      <c r="E10" s="31">
        <f t="shared" ca="1" si="5"/>
        <v>3.2</v>
      </c>
      <c r="F10" s="13">
        <f t="shared" ca="1" si="10"/>
        <v>3</v>
      </c>
      <c r="G10" s="13">
        <f t="shared" ca="1" si="6"/>
        <v>11.8</v>
      </c>
      <c r="H10" s="13">
        <f t="shared" ca="1" si="11"/>
        <v>12</v>
      </c>
      <c r="I10" s="13">
        <f t="shared" ca="1" si="7"/>
        <v>20.9</v>
      </c>
      <c r="J10" s="13">
        <f t="shared" ca="1" si="12"/>
        <v>21</v>
      </c>
      <c r="K10" s="13">
        <f t="shared" ca="1" si="8"/>
        <v>29.3</v>
      </c>
      <c r="L10" s="13">
        <f t="shared" ca="1" si="13"/>
        <v>29</v>
      </c>
      <c r="M10" s="13">
        <f t="shared" ca="1" si="9"/>
        <v>38.6</v>
      </c>
      <c r="N10" s="32">
        <f t="shared" ca="1" si="14"/>
        <v>39</v>
      </c>
      <c r="O10" s="21"/>
      <c r="P10" s="22" t="str">
        <f t="shared" ca="1" si="0"/>
        <v/>
      </c>
      <c r="Q10" s="22" t="str">
        <f t="shared" ca="1" si="1"/>
        <v/>
      </c>
      <c r="R10" s="23" t="str">
        <f t="shared" ca="1" si="2"/>
        <v/>
      </c>
      <c r="S10" s="24" t="str">
        <f t="shared" ca="1" si="3"/>
        <v/>
      </c>
      <c r="T10" s="24" t="str">
        <f t="shared" ca="1" si="4"/>
        <v/>
      </c>
      <c r="U10" s="21"/>
      <c r="V10" s="11"/>
      <c r="X10" s="11"/>
    </row>
    <row r="11" spans="1:24" ht="15.6" x14ac:dyDescent="0.3">
      <c r="A11" s="19"/>
      <c r="B11" s="11"/>
      <c r="C11" s="11"/>
      <c r="D11" s="28"/>
      <c r="E11" s="31">
        <f t="shared" ca="1" si="5"/>
        <v>3.8</v>
      </c>
      <c r="F11" s="13">
        <f t="shared" ca="1" si="10"/>
        <v>4</v>
      </c>
      <c r="G11" s="13">
        <f t="shared" ca="1" si="6"/>
        <v>11.8</v>
      </c>
      <c r="H11" s="13">
        <f t="shared" ca="1" si="11"/>
        <v>12</v>
      </c>
      <c r="I11" s="13">
        <f t="shared" ca="1" si="7"/>
        <v>21.2</v>
      </c>
      <c r="J11" s="13">
        <f t="shared" ca="1" si="12"/>
        <v>21</v>
      </c>
      <c r="K11" s="13">
        <f t="shared" ca="1" si="8"/>
        <v>29.7</v>
      </c>
      <c r="L11" s="13">
        <f t="shared" ca="1" si="13"/>
        <v>30</v>
      </c>
      <c r="M11" s="13">
        <f t="shared" ca="1" si="9"/>
        <v>39.299999999999997</v>
      </c>
      <c r="N11" s="32">
        <f t="shared" ca="1" si="14"/>
        <v>39</v>
      </c>
      <c r="O11" s="21"/>
      <c r="P11" s="22" t="str">
        <f t="shared" ca="1" si="0"/>
        <v/>
      </c>
      <c r="Q11" s="22" t="str">
        <f t="shared" ca="1" si="1"/>
        <v/>
      </c>
      <c r="R11" s="114" t="str">
        <f t="shared" ca="1" si="2"/>
        <v/>
      </c>
      <c r="S11" s="24" t="str">
        <f t="shared" ca="1" si="3"/>
        <v/>
      </c>
      <c r="T11" s="24" t="str">
        <f t="shared" ca="1" si="4"/>
        <v/>
      </c>
      <c r="U11" s="21"/>
      <c r="V11" s="11"/>
      <c r="X11" s="11"/>
    </row>
    <row r="12" spans="1:24" ht="15.6" customHeight="1" x14ac:dyDescent="0.5">
      <c r="A12" s="19"/>
      <c r="B12" s="11"/>
      <c r="C12" s="11"/>
      <c r="D12" s="28"/>
      <c r="E12" s="31">
        <f t="shared" ca="1" si="5"/>
        <v>4</v>
      </c>
      <c r="F12" s="13">
        <f t="shared" ca="1" si="10"/>
        <v>4</v>
      </c>
      <c r="G12" s="13">
        <f t="shared" ca="1" si="6"/>
        <v>12.1</v>
      </c>
      <c r="H12" s="13">
        <f t="shared" ca="1" si="11"/>
        <v>12</v>
      </c>
      <c r="I12" s="13">
        <f t="shared" ca="1" si="7"/>
        <v>21.8</v>
      </c>
      <c r="J12" s="13">
        <f t="shared" ca="1" si="12"/>
        <v>22</v>
      </c>
      <c r="K12" s="13">
        <f t="shared" ca="1" si="8"/>
        <v>29.9</v>
      </c>
      <c r="L12" s="13">
        <f t="shared" ca="1" si="13"/>
        <v>30</v>
      </c>
      <c r="M12" s="13">
        <f t="shared" ca="1" si="9"/>
        <v>39.700000000000003</v>
      </c>
      <c r="N12" s="32">
        <f t="shared" ca="1" si="14"/>
        <v>40</v>
      </c>
      <c r="O12" s="3" t="s">
        <v>141</v>
      </c>
      <c r="P12" s="22" t="str">
        <f t="shared" ca="1" si="0"/>
        <v/>
      </c>
      <c r="Q12" s="22" t="str">
        <f t="shared" ca="1" si="1"/>
        <v/>
      </c>
      <c r="R12" s="2" t="s">
        <v>141</v>
      </c>
      <c r="S12" s="24" t="str">
        <f t="shared" ca="1" si="3"/>
        <v/>
      </c>
      <c r="T12" s="24" t="str">
        <f t="shared" ca="1" si="4"/>
        <v/>
      </c>
      <c r="U12" s="4" t="s">
        <v>141</v>
      </c>
      <c r="V12" s="11"/>
      <c r="X12" s="11"/>
    </row>
    <row r="13" spans="1:24" ht="15.6" x14ac:dyDescent="0.3">
      <c r="A13" s="19"/>
      <c r="B13" s="11"/>
      <c r="C13" s="11"/>
      <c r="D13" s="28"/>
      <c r="E13" s="31">
        <f t="shared" ca="1" si="5"/>
        <v>4.5</v>
      </c>
      <c r="F13" s="13">
        <f t="shared" ca="1" si="10"/>
        <v>5</v>
      </c>
      <c r="G13" s="13">
        <f t="shared" ca="1" si="6"/>
        <v>12.1</v>
      </c>
      <c r="H13" s="13">
        <f t="shared" ca="1" si="11"/>
        <v>12</v>
      </c>
      <c r="I13" s="13">
        <f t="shared" ca="1" si="7"/>
        <v>22.1</v>
      </c>
      <c r="J13" s="13">
        <f t="shared" ca="1" si="12"/>
        <v>22</v>
      </c>
      <c r="K13" s="13">
        <f t="shared" ca="1" si="8"/>
        <v>31.5</v>
      </c>
      <c r="L13" s="13">
        <f t="shared" ca="1" si="13"/>
        <v>32</v>
      </c>
      <c r="M13" s="13">
        <f t="shared" ca="1" si="9"/>
        <v>40.4</v>
      </c>
      <c r="N13" s="32">
        <f t="shared" ca="1" si="14"/>
        <v>40</v>
      </c>
      <c r="O13" s="21"/>
      <c r="P13" s="22" t="str">
        <f t="shared" ca="1" si="0"/>
        <v/>
      </c>
      <c r="Q13" s="22" t="str">
        <f t="shared" ca="1" si="1"/>
        <v/>
      </c>
      <c r="R13" s="23" t="str">
        <f t="shared" ref="R13:R22" ca="1" si="15">IF($H$176=I124,I124,"")</f>
        <v/>
      </c>
      <c r="S13" s="24" t="str">
        <f t="shared" ca="1" si="3"/>
        <v/>
      </c>
      <c r="T13" s="24" t="str">
        <f t="shared" ca="1" si="4"/>
        <v/>
      </c>
      <c r="U13" s="21"/>
      <c r="V13" s="11"/>
      <c r="X13" s="11"/>
    </row>
    <row r="14" spans="1:24" ht="16.2" thickBot="1" x14ac:dyDescent="0.35">
      <c r="A14" s="19"/>
      <c r="B14" s="11"/>
      <c r="C14" s="11"/>
      <c r="D14" s="28"/>
      <c r="E14" s="31">
        <f t="shared" ca="1" si="5"/>
        <v>4.5999999999999996</v>
      </c>
      <c r="F14" s="13">
        <f t="shared" ca="1" si="10"/>
        <v>5</v>
      </c>
      <c r="G14" s="13">
        <f t="shared" ca="1" si="6"/>
        <v>12.2</v>
      </c>
      <c r="H14" s="13">
        <f t="shared" ca="1" si="11"/>
        <v>12</v>
      </c>
      <c r="I14" s="13">
        <f t="shared" ca="1" si="7"/>
        <v>22.1</v>
      </c>
      <c r="J14" s="13">
        <f t="shared" ca="1" si="12"/>
        <v>22</v>
      </c>
      <c r="K14" s="13">
        <f t="shared" ca="1" si="8"/>
        <v>31.5</v>
      </c>
      <c r="L14" s="13">
        <f t="shared" ca="1" si="13"/>
        <v>32</v>
      </c>
      <c r="M14" s="13">
        <f t="shared" ca="1" si="9"/>
        <v>41.7</v>
      </c>
      <c r="N14" s="32">
        <f t="shared" ca="1" si="14"/>
        <v>42</v>
      </c>
      <c r="O14" s="21"/>
      <c r="P14" s="22" t="str">
        <f t="shared" ca="1" si="0"/>
        <v/>
      </c>
      <c r="Q14" s="22" t="str">
        <f t="shared" ca="1" si="1"/>
        <v/>
      </c>
      <c r="R14" s="23" t="str">
        <f t="shared" ca="1" si="15"/>
        <v/>
      </c>
      <c r="S14" s="24" t="str">
        <f t="shared" ca="1" si="3"/>
        <v/>
      </c>
      <c r="T14" s="24" t="str">
        <f t="shared" ca="1" si="4"/>
        <v/>
      </c>
      <c r="U14" s="21"/>
      <c r="V14" s="11"/>
      <c r="X14" s="11"/>
    </row>
    <row r="15" spans="1:24" ht="16.2" thickBot="1" x14ac:dyDescent="0.35">
      <c r="A15" s="19"/>
      <c r="B15" s="34"/>
      <c r="C15" s="11"/>
      <c r="D15" s="28"/>
      <c r="E15" s="31">
        <f t="shared" ca="1" si="5"/>
        <v>4.8</v>
      </c>
      <c r="F15" s="13">
        <f t="shared" ca="1" si="10"/>
        <v>5</v>
      </c>
      <c r="G15" s="13">
        <f t="shared" ca="1" si="6"/>
        <v>12.3</v>
      </c>
      <c r="H15" s="13">
        <f t="shared" ca="1" si="11"/>
        <v>12</v>
      </c>
      <c r="I15" s="13">
        <f t="shared" ca="1" si="7"/>
        <v>22.2</v>
      </c>
      <c r="J15" s="13">
        <f t="shared" ca="1" si="12"/>
        <v>22</v>
      </c>
      <c r="K15" s="13">
        <f t="shared" ca="1" si="8"/>
        <v>31.5</v>
      </c>
      <c r="L15" s="13">
        <f t="shared" ca="1" si="13"/>
        <v>32</v>
      </c>
      <c r="M15" s="13">
        <f t="shared" ca="1" si="9"/>
        <v>41.7</v>
      </c>
      <c r="N15" s="32">
        <f t="shared" ca="1" si="14"/>
        <v>42</v>
      </c>
      <c r="O15" s="21"/>
      <c r="P15" s="22" t="str">
        <f t="shared" ca="1" si="0"/>
        <v/>
      </c>
      <c r="Q15" s="22" t="str">
        <f t="shared" ca="1" si="1"/>
        <v/>
      </c>
      <c r="R15" s="23" t="str">
        <f t="shared" ca="1" si="15"/>
        <v/>
      </c>
      <c r="S15" s="24" t="str">
        <f t="shared" ca="1" si="3"/>
        <v/>
      </c>
      <c r="T15" s="24" t="str">
        <f t="shared" ca="1" si="4"/>
        <v/>
      </c>
      <c r="U15" s="21"/>
      <c r="V15" s="11"/>
      <c r="X15" s="11"/>
    </row>
    <row r="16" spans="1:24" ht="15.6" x14ac:dyDescent="0.3">
      <c r="A16" s="19"/>
      <c r="B16" s="11"/>
      <c r="C16" s="11"/>
      <c r="D16" s="28"/>
      <c r="E16" s="31">
        <f t="shared" ca="1" si="5"/>
        <v>5.3</v>
      </c>
      <c r="F16" s="13">
        <f t="shared" ca="1" si="10"/>
        <v>5</v>
      </c>
      <c r="G16" s="13">
        <f t="shared" ca="1" si="6"/>
        <v>12.4</v>
      </c>
      <c r="H16" s="13">
        <f t="shared" ca="1" si="11"/>
        <v>12</v>
      </c>
      <c r="I16" s="13">
        <f t="shared" ca="1" si="7"/>
        <v>23.3</v>
      </c>
      <c r="J16" s="13">
        <f t="shared" ca="1" si="12"/>
        <v>23</v>
      </c>
      <c r="K16" s="13">
        <f t="shared" ca="1" si="8"/>
        <v>31.6</v>
      </c>
      <c r="L16" s="13">
        <f t="shared" ca="1" si="13"/>
        <v>32</v>
      </c>
      <c r="M16" s="13">
        <f t="shared" ca="1" si="9"/>
        <v>41.9</v>
      </c>
      <c r="N16" s="32">
        <f t="shared" ca="1" si="14"/>
        <v>42</v>
      </c>
      <c r="O16" s="21"/>
      <c r="P16" s="22" t="str">
        <f t="shared" ca="1" si="0"/>
        <v/>
      </c>
      <c r="Q16" s="22" t="str">
        <f t="shared" ca="1" si="1"/>
        <v/>
      </c>
      <c r="R16" s="23" t="str">
        <f t="shared" ca="1" si="15"/>
        <v/>
      </c>
      <c r="S16" s="24" t="str">
        <f t="shared" ca="1" si="3"/>
        <v/>
      </c>
      <c r="T16" s="24" t="str">
        <f t="shared" ca="1" si="4"/>
        <v/>
      </c>
      <c r="U16" s="21"/>
      <c r="V16" s="11"/>
      <c r="X16" s="11"/>
    </row>
    <row r="17" spans="1:24" ht="15.6" x14ac:dyDescent="0.3">
      <c r="A17" s="19"/>
      <c r="B17" s="11"/>
      <c r="C17" s="11"/>
      <c r="D17" s="28"/>
      <c r="E17" s="31">
        <f t="shared" ca="1" si="5"/>
        <v>5.6</v>
      </c>
      <c r="F17" s="13">
        <f t="shared" ca="1" si="10"/>
        <v>6</v>
      </c>
      <c r="G17" s="13">
        <f t="shared" ca="1" si="6"/>
        <v>13</v>
      </c>
      <c r="H17" s="13">
        <f t="shared" ca="1" si="11"/>
        <v>13</v>
      </c>
      <c r="I17" s="13">
        <f t="shared" ca="1" si="7"/>
        <v>23.3</v>
      </c>
      <c r="J17" s="13">
        <f t="shared" ca="1" si="12"/>
        <v>23</v>
      </c>
      <c r="K17" s="13">
        <f t="shared" ca="1" si="8"/>
        <v>32.799999999999997</v>
      </c>
      <c r="L17" s="13">
        <f t="shared" ca="1" si="13"/>
        <v>33</v>
      </c>
      <c r="M17" s="13">
        <f t="shared" ca="1" si="9"/>
        <v>42.1</v>
      </c>
      <c r="N17" s="32">
        <f t="shared" ca="1" si="14"/>
        <v>42</v>
      </c>
      <c r="O17" s="21"/>
      <c r="P17" s="22" t="str">
        <f t="shared" ca="1" si="0"/>
        <v/>
      </c>
      <c r="Q17" s="22" t="str">
        <f t="shared" ca="1" si="1"/>
        <v/>
      </c>
      <c r="R17" s="23" t="str">
        <f t="shared" ca="1" si="15"/>
        <v/>
      </c>
      <c r="S17" s="24" t="str">
        <f t="shared" ca="1" si="3"/>
        <v/>
      </c>
      <c r="T17" s="24" t="str">
        <f t="shared" ca="1" si="4"/>
        <v/>
      </c>
      <c r="U17" s="21"/>
      <c r="V17" s="11"/>
      <c r="X17" s="11"/>
    </row>
    <row r="18" spans="1:24" ht="15.6" x14ac:dyDescent="0.3">
      <c r="A18" s="19"/>
      <c r="B18" s="11"/>
      <c r="C18" s="11"/>
      <c r="D18" s="28"/>
      <c r="E18" s="31">
        <f t="shared" ca="1" si="5"/>
        <v>6.2</v>
      </c>
      <c r="F18" s="13">
        <f t="shared" ca="1" si="10"/>
        <v>6</v>
      </c>
      <c r="G18" s="13">
        <f t="shared" ca="1" si="6"/>
        <v>14.3</v>
      </c>
      <c r="H18" s="13">
        <f t="shared" ca="1" si="11"/>
        <v>14</v>
      </c>
      <c r="I18" s="13">
        <f t="shared" ca="1" si="7"/>
        <v>23.5</v>
      </c>
      <c r="J18" s="13">
        <f t="shared" ca="1" si="12"/>
        <v>24</v>
      </c>
      <c r="K18" s="13">
        <f t="shared" ca="1" si="8"/>
        <v>33.700000000000003</v>
      </c>
      <c r="L18" s="13">
        <f t="shared" ca="1" si="13"/>
        <v>34</v>
      </c>
      <c r="M18" s="13">
        <f t="shared" ca="1" si="9"/>
        <v>45</v>
      </c>
      <c r="N18" s="32">
        <f t="shared" ca="1" si="14"/>
        <v>45</v>
      </c>
      <c r="O18" s="21"/>
      <c r="P18" s="22" t="str">
        <f t="shared" ca="1" si="0"/>
        <v/>
      </c>
      <c r="Q18" s="22" t="str">
        <f t="shared" ca="1" si="1"/>
        <v/>
      </c>
      <c r="R18" s="23" t="str">
        <f t="shared" ca="1" si="15"/>
        <v/>
      </c>
      <c r="S18" s="24" t="str">
        <f t="shared" ca="1" si="3"/>
        <v/>
      </c>
      <c r="T18" s="24" t="str">
        <f t="shared" ca="1" si="4"/>
        <v/>
      </c>
      <c r="U18" s="21"/>
      <c r="V18" s="11"/>
      <c r="X18" s="11"/>
    </row>
    <row r="19" spans="1:24" ht="15.6" x14ac:dyDescent="0.3">
      <c r="A19" s="19"/>
      <c r="B19" s="11"/>
      <c r="C19" s="11"/>
      <c r="D19" s="28"/>
      <c r="E19" s="31">
        <f t="shared" ca="1" si="5"/>
        <v>6.4</v>
      </c>
      <c r="F19" s="13">
        <f t="shared" ca="1" si="10"/>
        <v>6</v>
      </c>
      <c r="G19" s="13">
        <f t="shared" ca="1" si="6"/>
        <v>14.9</v>
      </c>
      <c r="H19" s="13">
        <f t="shared" ca="1" si="11"/>
        <v>15</v>
      </c>
      <c r="I19" s="13">
        <f t="shared" ca="1" si="7"/>
        <v>23.6</v>
      </c>
      <c r="J19" s="13">
        <f t="shared" ca="1" si="12"/>
        <v>24</v>
      </c>
      <c r="K19" s="13">
        <f t="shared" ca="1" si="8"/>
        <v>34</v>
      </c>
      <c r="L19" s="13">
        <f t="shared" ca="1" si="13"/>
        <v>34</v>
      </c>
      <c r="M19" s="13">
        <f t="shared" ca="1" si="9"/>
        <v>45.3</v>
      </c>
      <c r="N19" s="32">
        <f t="shared" ca="1" si="14"/>
        <v>45</v>
      </c>
      <c r="O19" s="21"/>
      <c r="P19" s="22" t="str">
        <f t="shared" ca="1" si="0"/>
        <v/>
      </c>
      <c r="Q19" s="22" t="str">
        <f t="shared" ca="1" si="1"/>
        <v/>
      </c>
      <c r="R19" s="23" t="str">
        <f t="shared" ca="1" si="15"/>
        <v/>
      </c>
      <c r="S19" s="24" t="str">
        <f t="shared" ca="1" si="3"/>
        <v/>
      </c>
      <c r="T19" s="24" t="str">
        <f t="shared" ca="1" si="4"/>
        <v/>
      </c>
      <c r="U19" s="21"/>
      <c r="V19" s="11"/>
      <c r="X19" s="11"/>
    </row>
    <row r="20" spans="1:24" ht="15.6" x14ac:dyDescent="0.3">
      <c r="A20" s="19"/>
      <c r="B20" s="11"/>
      <c r="C20" s="11"/>
      <c r="D20" s="28"/>
      <c r="E20" s="31">
        <f t="shared" ca="1" si="5"/>
        <v>6.4</v>
      </c>
      <c r="F20" s="13">
        <f t="shared" ca="1" si="10"/>
        <v>6</v>
      </c>
      <c r="G20" s="13">
        <f t="shared" ca="1" si="6"/>
        <v>15.4</v>
      </c>
      <c r="H20" s="13">
        <f t="shared" ca="1" si="11"/>
        <v>15</v>
      </c>
      <c r="I20" s="13">
        <f t="shared" ca="1" si="7"/>
        <v>23.8</v>
      </c>
      <c r="J20" s="13">
        <f t="shared" ca="1" si="12"/>
        <v>24</v>
      </c>
      <c r="K20" s="13">
        <f t="shared" ca="1" si="8"/>
        <v>34.1</v>
      </c>
      <c r="L20" s="13">
        <f t="shared" ca="1" si="13"/>
        <v>34</v>
      </c>
      <c r="M20" s="13">
        <f t="shared" ca="1" si="9"/>
        <v>46.4</v>
      </c>
      <c r="N20" s="32">
        <f t="shared" ca="1" si="14"/>
        <v>46</v>
      </c>
      <c r="O20" s="21"/>
      <c r="P20" s="22" t="str">
        <f t="shared" ca="1" si="0"/>
        <v/>
      </c>
      <c r="Q20" s="22" t="str">
        <f t="shared" ca="1" si="1"/>
        <v/>
      </c>
      <c r="R20" s="23" t="str">
        <f t="shared" ca="1" si="15"/>
        <v/>
      </c>
      <c r="S20" s="24" t="str">
        <f t="shared" ca="1" si="3"/>
        <v/>
      </c>
      <c r="T20" s="24">
        <f t="shared" ca="1" si="4"/>
        <v>48.9</v>
      </c>
      <c r="U20" s="21"/>
      <c r="V20" s="11"/>
      <c r="X20" s="11"/>
    </row>
    <row r="21" spans="1:24" ht="16.2" thickBot="1" x14ac:dyDescent="0.35">
      <c r="A21" s="19"/>
      <c r="B21" s="11"/>
      <c r="C21" s="11"/>
      <c r="D21" s="28"/>
      <c r="E21" s="31">
        <f t="shared" ca="1" si="5"/>
        <v>8.1999999999999993</v>
      </c>
      <c r="F21" s="13">
        <f t="shared" ca="1" si="10"/>
        <v>8</v>
      </c>
      <c r="G21" s="13">
        <f t="shared" ca="1" si="6"/>
        <v>15.8</v>
      </c>
      <c r="H21" s="13">
        <f t="shared" ca="1" si="11"/>
        <v>16</v>
      </c>
      <c r="I21" s="13">
        <f t="shared" ca="1" si="7"/>
        <v>24</v>
      </c>
      <c r="J21" s="13">
        <f t="shared" ca="1" si="12"/>
        <v>24</v>
      </c>
      <c r="K21" s="13">
        <f t="shared" ca="1" si="8"/>
        <v>34.4</v>
      </c>
      <c r="L21" s="13">
        <f t="shared" ca="1" si="13"/>
        <v>34</v>
      </c>
      <c r="M21" s="13">
        <f t="shared" ca="1" si="9"/>
        <v>46.6</v>
      </c>
      <c r="N21" s="32">
        <f t="shared" ca="1" si="14"/>
        <v>47</v>
      </c>
      <c r="O21" s="21"/>
      <c r="P21" s="22" t="str">
        <f t="shared" ca="1" si="0"/>
        <v/>
      </c>
      <c r="Q21" s="22" t="str">
        <f t="shared" ca="1" si="1"/>
        <v/>
      </c>
      <c r="R21" s="23" t="str">
        <f t="shared" ca="1" si="15"/>
        <v/>
      </c>
      <c r="S21" s="24" t="str">
        <f t="shared" ca="1" si="3"/>
        <v/>
      </c>
      <c r="T21" s="24" t="str">
        <f t="shared" ca="1" si="4"/>
        <v/>
      </c>
      <c r="U21" s="21"/>
      <c r="V21" s="11"/>
      <c r="X21" s="11"/>
    </row>
    <row r="22" spans="1:24" ht="16.2" thickBot="1" x14ac:dyDescent="0.35">
      <c r="A22" s="35" t="s">
        <v>143</v>
      </c>
      <c r="B22" s="36">
        <f>'NUR MIT PASSWORT'!$J$20</f>
        <v>1</v>
      </c>
      <c r="C22" s="36">
        <f>ROUND(((50-1)/98)*(D22-B22)+B22,2)</f>
        <v>25.5</v>
      </c>
      <c r="D22" s="36">
        <f>'NUR MIT PASSWORT'!$J$21</f>
        <v>50</v>
      </c>
      <c r="E22" s="31">
        <f t="shared" ca="1" si="5"/>
        <v>8.3000000000000007</v>
      </c>
      <c r="F22" s="13">
        <f t="shared" ca="1" si="10"/>
        <v>8</v>
      </c>
      <c r="G22" s="13">
        <f t="shared" ca="1" si="6"/>
        <v>15.9</v>
      </c>
      <c r="H22" s="13">
        <f t="shared" ca="1" si="11"/>
        <v>16</v>
      </c>
      <c r="I22" s="13">
        <f t="shared" ca="1" si="7"/>
        <v>24.4</v>
      </c>
      <c r="J22" s="13">
        <f t="shared" ca="1" si="12"/>
        <v>24</v>
      </c>
      <c r="K22" s="13">
        <f t="shared" ca="1" si="8"/>
        <v>35.6</v>
      </c>
      <c r="L22" s="13">
        <f t="shared" ca="1" si="13"/>
        <v>36</v>
      </c>
      <c r="M22" s="13">
        <f t="shared" ca="1" si="9"/>
        <v>47.5</v>
      </c>
      <c r="N22" s="32">
        <f t="shared" ca="1" si="14"/>
        <v>48</v>
      </c>
      <c r="O22" s="21"/>
      <c r="P22" s="22" t="str">
        <f t="shared" ca="1" si="0"/>
        <v/>
      </c>
      <c r="Q22" s="22" t="str">
        <f t="shared" ca="1" si="1"/>
        <v/>
      </c>
      <c r="R22" s="23" t="str">
        <f t="shared" ca="1" si="15"/>
        <v/>
      </c>
      <c r="S22" s="24" t="str">
        <f t="shared" ca="1" si="3"/>
        <v/>
      </c>
      <c r="T22" s="24" t="str">
        <f t="shared" ca="1" si="4"/>
        <v/>
      </c>
      <c r="U22" s="21"/>
      <c r="V22" s="11"/>
      <c r="X22" s="11"/>
    </row>
    <row r="23" spans="1:24" ht="15" thickBot="1" x14ac:dyDescent="0.35">
      <c r="A23" s="35" t="str">
        <f>'FALL 4'!$A$23</f>
        <v>Vorgaben Entnahmebereich (xmin' - xmax')</v>
      </c>
      <c r="B23" s="36">
        <f>'NUR MIT PASSWORT'!$J$22</f>
        <v>1</v>
      </c>
      <c r="C23" s="37"/>
      <c r="D23" s="36">
        <f>'NUR MIT PASSWORT'!$J$23</f>
        <v>50</v>
      </c>
      <c r="E23" s="31">
        <f t="shared" ca="1" si="5"/>
        <v>8.4</v>
      </c>
      <c r="F23" s="13">
        <f t="shared" ca="1" si="10"/>
        <v>8</v>
      </c>
      <c r="G23" s="13">
        <f t="shared" ca="1" si="6"/>
        <v>16</v>
      </c>
      <c r="H23" s="13">
        <f t="shared" ca="1" si="11"/>
        <v>16</v>
      </c>
      <c r="I23" s="13">
        <f t="shared" ca="1" si="7"/>
        <v>24.8</v>
      </c>
      <c r="J23" s="13">
        <f t="shared" ca="1" si="12"/>
        <v>25</v>
      </c>
      <c r="K23" s="13">
        <f t="shared" ca="1" si="8"/>
        <v>35.700000000000003</v>
      </c>
      <c r="L23" s="13">
        <f t="shared" ca="1" si="13"/>
        <v>36</v>
      </c>
      <c r="M23" s="13">
        <f t="shared" ca="1" si="9"/>
        <v>48.2</v>
      </c>
      <c r="N23" s="32">
        <f t="shared" ca="1" si="14"/>
        <v>48</v>
      </c>
      <c r="O23" s="11"/>
      <c r="P23" s="11"/>
      <c r="Q23" s="11"/>
      <c r="R23" s="11"/>
      <c r="S23" s="11"/>
      <c r="T23" s="11"/>
      <c r="U23" s="11"/>
      <c r="V23" s="11"/>
      <c r="X23" s="11"/>
    </row>
    <row r="24" spans="1:24" ht="15" thickBot="1" x14ac:dyDescent="0.35">
      <c r="A24" s="38" t="str">
        <f>'FALL 4'!$A$24</f>
        <v>Abfrage INNERHALB des Entnahmebereichs</v>
      </c>
      <c r="B24" s="13"/>
      <c r="C24" s="13"/>
      <c r="D24" s="32"/>
      <c r="E24" s="31">
        <f t="shared" ca="1" si="5"/>
        <v>9.9</v>
      </c>
      <c r="F24" s="13">
        <f t="shared" ca="1" si="10"/>
        <v>10</v>
      </c>
      <c r="G24" s="13">
        <f t="shared" ca="1" si="6"/>
        <v>16.3</v>
      </c>
      <c r="H24" s="13">
        <f t="shared" ca="1" si="11"/>
        <v>16</v>
      </c>
      <c r="I24" s="13">
        <f t="shared" ca="1" si="7"/>
        <v>25.6</v>
      </c>
      <c r="J24" s="13">
        <f t="shared" ca="1" si="12"/>
        <v>26</v>
      </c>
      <c r="K24" s="13">
        <f t="shared" ca="1" si="8"/>
        <v>36.1</v>
      </c>
      <c r="L24" s="13">
        <f t="shared" ca="1" si="13"/>
        <v>36</v>
      </c>
      <c r="M24" s="13">
        <f t="shared" ca="1" si="9"/>
        <v>48.9</v>
      </c>
      <c r="N24" s="32">
        <f t="shared" ca="1" si="14"/>
        <v>49</v>
      </c>
      <c r="O24" s="11"/>
      <c r="P24" s="11"/>
      <c r="Q24" s="11"/>
      <c r="R24" s="11"/>
      <c r="S24" s="11"/>
      <c r="T24" s="11"/>
      <c r="U24" s="11"/>
      <c r="V24" s="11"/>
      <c r="X24" s="11"/>
    </row>
    <row r="25" spans="1:24" ht="15" thickBot="1" x14ac:dyDescent="0.35">
      <c r="A25" s="35" t="s">
        <v>73</v>
      </c>
      <c r="B25" s="39">
        <v>70</v>
      </c>
      <c r="C25" s="37" t="s">
        <v>22</v>
      </c>
      <c r="D25" s="36">
        <f>ROUND((B34/B35)*98+1,2)</f>
        <v>139</v>
      </c>
      <c r="E25" s="31">
        <f t="shared" ca="1" si="5"/>
        <v>10</v>
      </c>
      <c r="F25" s="13">
        <f t="shared" ca="1" si="10"/>
        <v>10</v>
      </c>
      <c r="G25" s="13">
        <f t="shared" ca="1" si="6"/>
        <v>17.5</v>
      </c>
      <c r="H25" s="13">
        <f t="shared" ca="1" si="11"/>
        <v>18</v>
      </c>
      <c r="I25" s="13">
        <f t="shared" ca="1" si="7"/>
        <v>25.7</v>
      </c>
      <c r="J25" s="13">
        <f t="shared" ca="1" si="12"/>
        <v>26</v>
      </c>
      <c r="K25" s="13">
        <f t="shared" ca="1" si="8"/>
        <v>37.299999999999997</v>
      </c>
      <c r="L25" s="13">
        <f t="shared" ca="1" si="13"/>
        <v>37</v>
      </c>
      <c r="M25" s="13">
        <f t="shared" ca="1" si="9"/>
        <v>49.5</v>
      </c>
      <c r="N25" s="32">
        <f t="shared" ca="1" si="14"/>
        <v>50</v>
      </c>
      <c r="O25" s="11"/>
      <c r="P25" s="11"/>
      <c r="Q25" s="11"/>
      <c r="R25" s="11"/>
      <c r="S25" s="11"/>
      <c r="T25" s="11"/>
      <c r="U25" s="11"/>
      <c r="V25" s="11"/>
      <c r="X25" s="11"/>
    </row>
    <row r="26" spans="1:24" ht="15" thickBot="1" x14ac:dyDescent="0.35">
      <c r="A26" s="35" t="s">
        <v>31</v>
      </c>
      <c r="B26" s="39">
        <v>99</v>
      </c>
      <c r="C26" s="37" t="s">
        <v>21</v>
      </c>
      <c r="D26" s="36">
        <f>ROUND(((B26-1)/98)*(D23-B23)+B23,2)</f>
        <v>50</v>
      </c>
      <c r="E26" s="40">
        <f t="shared" ca="1" si="5"/>
        <v>10.5</v>
      </c>
      <c r="F26" s="41">
        <f t="shared" ca="1" si="10"/>
        <v>11</v>
      </c>
      <c r="G26" s="41">
        <f t="shared" ca="1" si="6"/>
        <v>17.7</v>
      </c>
      <c r="H26" s="41">
        <f t="shared" ca="1" si="11"/>
        <v>18</v>
      </c>
      <c r="I26" s="41">
        <f t="shared" ca="1" si="7"/>
        <v>25.8</v>
      </c>
      <c r="J26" s="41">
        <f t="shared" ca="1" si="12"/>
        <v>26</v>
      </c>
      <c r="K26" s="41">
        <f t="shared" ca="1" si="8"/>
        <v>38.299999999999997</v>
      </c>
      <c r="L26" s="41">
        <f t="shared" ca="1" si="13"/>
        <v>38</v>
      </c>
      <c r="M26" s="41">
        <f t="shared" ca="1" si="9"/>
        <v>49.9</v>
      </c>
      <c r="N26" s="42">
        <f t="shared" ca="1" si="14"/>
        <v>50</v>
      </c>
      <c r="O26" s="11"/>
      <c r="P26" s="11"/>
      <c r="Q26" s="11"/>
      <c r="R26" s="11"/>
      <c r="S26" s="11"/>
      <c r="T26" s="11"/>
      <c r="U26" s="11"/>
      <c r="V26" s="11"/>
      <c r="X26" s="11"/>
    </row>
    <row r="27" spans="1:24" x14ac:dyDescent="0.3">
      <c r="E27" s="11"/>
      <c r="F27" s="11"/>
      <c r="G27" s="11"/>
      <c r="H27" s="11"/>
      <c r="I27" s="11"/>
      <c r="J27" s="11"/>
      <c r="K27" s="11"/>
      <c r="L27" s="11"/>
      <c r="M27" s="11"/>
      <c r="N27" s="11"/>
      <c r="O27" s="11"/>
      <c r="P27" s="11"/>
      <c r="Q27" s="11"/>
      <c r="R27" s="11"/>
      <c r="S27" s="11"/>
      <c r="T27" s="11"/>
      <c r="U27" s="11"/>
      <c r="V27" s="11"/>
      <c r="X27" s="11"/>
    </row>
    <row r="28" spans="1:24" x14ac:dyDescent="0.3">
      <c r="E28" s="11"/>
      <c r="F28" s="11"/>
      <c r="G28" s="11"/>
      <c r="H28" s="11"/>
      <c r="I28" s="11"/>
      <c r="J28" s="11"/>
      <c r="K28" s="11"/>
      <c r="L28" s="11"/>
      <c r="M28" s="11"/>
      <c r="N28" s="11"/>
      <c r="O28" s="11"/>
      <c r="P28" s="11"/>
      <c r="Q28" s="11"/>
      <c r="R28" s="11"/>
      <c r="S28" s="11"/>
      <c r="T28" s="11"/>
      <c r="U28" s="11"/>
      <c r="V28" s="11"/>
      <c r="X28" s="11"/>
    </row>
    <row r="29" spans="1:24" x14ac:dyDescent="0.3">
      <c r="A29" s="11"/>
      <c r="B29" s="11"/>
      <c r="C29" s="11"/>
      <c r="E29" s="11"/>
      <c r="F29" s="11"/>
      <c r="G29" s="11"/>
      <c r="H29" s="11"/>
      <c r="I29" s="11"/>
      <c r="J29" s="11"/>
      <c r="K29" s="11"/>
      <c r="L29" s="11"/>
      <c r="M29" s="11"/>
      <c r="N29" s="11"/>
      <c r="O29" s="11"/>
      <c r="P29" s="11"/>
      <c r="Q29" s="11"/>
      <c r="R29" s="11"/>
      <c r="S29" s="11"/>
      <c r="T29" s="11"/>
      <c r="U29" s="11"/>
      <c r="V29" s="11"/>
      <c r="X29" s="11"/>
    </row>
    <row r="30" spans="1:24" x14ac:dyDescent="0.3">
      <c r="A30" s="11"/>
      <c r="B30" s="11"/>
      <c r="C30" s="11"/>
      <c r="D30" s="11"/>
      <c r="E30" s="11"/>
      <c r="F30" s="11"/>
      <c r="G30" s="11"/>
      <c r="H30" s="11"/>
      <c r="I30" s="11"/>
      <c r="J30" s="11"/>
      <c r="K30" s="11"/>
      <c r="L30" s="11"/>
      <c r="M30" s="11"/>
      <c r="N30" s="11"/>
      <c r="O30" s="11"/>
      <c r="P30" s="11"/>
      <c r="Q30" s="11"/>
      <c r="R30" s="11"/>
      <c r="S30" s="11"/>
      <c r="T30" s="11"/>
      <c r="U30" s="11"/>
      <c r="V30" s="11"/>
      <c r="X30" s="11"/>
    </row>
    <row r="31" spans="1:24" x14ac:dyDescent="0.3">
      <c r="A31" s="11"/>
      <c r="B31" s="11"/>
      <c r="C31" s="11"/>
      <c r="D31" s="11"/>
      <c r="E31" s="11"/>
      <c r="F31" s="11"/>
      <c r="G31" s="11"/>
      <c r="H31" s="11"/>
      <c r="I31" s="11"/>
      <c r="J31" s="11"/>
      <c r="K31" s="11"/>
      <c r="L31" s="11"/>
      <c r="M31" s="11"/>
      <c r="N31" s="11"/>
      <c r="O31" s="11"/>
      <c r="P31" s="11"/>
      <c r="Q31" s="11"/>
      <c r="R31" s="11"/>
      <c r="S31" s="11"/>
      <c r="T31" s="11"/>
      <c r="U31" s="11"/>
      <c r="V31" s="11"/>
      <c r="X31" s="11"/>
    </row>
    <row r="32" spans="1:24" x14ac:dyDescent="0.3">
      <c r="A32" s="11"/>
      <c r="B32" s="11"/>
      <c r="C32" s="11"/>
      <c r="D32" s="11"/>
      <c r="E32" s="11"/>
      <c r="F32" s="11"/>
      <c r="G32" s="11"/>
      <c r="H32" s="11"/>
      <c r="I32" s="11"/>
      <c r="J32" s="11"/>
      <c r="K32" s="11"/>
      <c r="L32" s="11"/>
      <c r="M32" s="11"/>
      <c r="N32" s="11"/>
      <c r="O32" s="11"/>
      <c r="P32" s="11"/>
      <c r="Q32" s="11"/>
      <c r="R32" s="11"/>
      <c r="S32" s="11"/>
      <c r="T32" s="11"/>
      <c r="U32" s="11"/>
      <c r="V32" s="11"/>
      <c r="X32" s="11"/>
    </row>
    <row r="33" spans="1:21" x14ac:dyDescent="0.3">
      <c r="A33" s="11" t="s">
        <v>99</v>
      </c>
      <c r="B33" s="11" t="s">
        <v>122</v>
      </c>
      <c r="C33" s="11"/>
      <c r="D33" s="11"/>
      <c r="E33" s="11"/>
      <c r="F33" s="11"/>
      <c r="G33" s="11"/>
      <c r="H33" s="11"/>
      <c r="I33" s="11"/>
      <c r="J33" s="11"/>
      <c r="K33" s="11"/>
      <c r="L33" s="11"/>
      <c r="M33" s="11"/>
      <c r="N33" s="11"/>
      <c r="O33" s="11"/>
      <c r="P33" s="11"/>
      <c r="Q33" s="11"/>
      <c r="R33" s="11"/>
      <c r="S33" s="11"/>
      <c r="T33" s="11"/>
      <c r="U33" s="11"/>
    </row>
    <row r="34" spans="1:21" x14ac:dyDescent="0.3">
      <c r="A34" s="11" t="s">
        <v>123</v>
      </c>
      <c r="B34" s="11">
        <f>((99-0)/(F39-F38))*(B25-B23)</f>
        <v>139.40816326530611</v>
      </c>
      <c r="C34" s="11"/>
      <c r="D34" s="11"/>
      <c r="E34" s="11"/>
      <c r="F34" s="11"/>
      <c r="G34" s="11"/>
      <c r="H34" s="11"/>
      <c r="I34" s="11"/>
      <c r="J34" s="11"/>
      <c r="K34" s="13"/>
      <c r="L34" s="13"/>
      <c r="M34" s="11"/>
      <c r="N34" s="11"/>
      <c r="O34" s="11"/>
      <c r="P34" s="11"/>
      <c r="Q34" s="11"/>
      <c r="R34" s="11"/>
      <c r="S34" s="11"/>
      <c r="T34" s="11"/>
      <c r="U34" s="11"/>
    </row>
    <row r="35" spans="1:21" x14ac:dyDescent="0.3">
      <c r="A35" s="11" t="s">
        <v>124</v>
      </c>
      <c r="B35" s="11">
        <f>((99-0)/(F39-F38))*(D23-B23)</f>
        <v>98.999999999999986</v>
      </c>
      <c r="C35" s="43"/>
      <c r="D35" s="13"/>
      <c r="E35" s="13"/>
      <c r="F35" s="13"/>
      <c r="G35" s="11"/>
      <c r="H35" s="11"/>
      <c r="J35" s="11"/>
      <c r="K35" s="13"/>
      <c r="L35" s="13"/>
      <c r="M35" s="11"/>
      <c r="N35" s="11"/>
      <c r="O35" s="11"/>
      <c r="P35" s="11"/>
      <c r="Q35" s="11"/>
      <c r="R35" s="11"/>
      <c r="S35" s="11"/>
      <c r="T35" s="11"/>
      <c r="U35" s="11"/>
    </row>
    <row r="36" spans="1:21" ht="14.4" customHeight="1" x14ac:dyDescent="0.3">
      <c r="A36" s="11"/>
      <c r="B36" s="11"/>
      <c r="C36" s="11"/>
      <c r="D36" s="11"/>
      <c r="E36" s="9" t="s">
        <v>138</v>
      </c>
      <c r="F36" s="44">
        <f>(F39-((99-0)*(F39-F38))/(99-1))</f>
        <v>0.5</v>
      </c>
      <c r="G36" s="11"/>
      <c r="H36" s="11"/>
      <c r="J36" s="11"/>
      <c r="K36" s="13"/>
      <c r="L36" s="13"/>
      <c r="M36" s="11"/>
      <c r="N36" s="11"/>
      <c r="O36" s="11"/>
      <c r="P36" s="11"/>
      <c r="Q36" s="11"/>
      <c r="R36" s="11"/>
      <c r="S36" s="11"/>
      <c r="T36" s="11"/>
      <c r="U36" s="11"/>
    </row>
    <row r="37" spans="1:21" ht="14.4" customHeight="1" x14ac:dyDescent="0.3">
      <c r="A37" s="11"/>
      <c r="B37" s="11"/>
      <c r="C37" s="13"/>
      <c r="D37" s="13"/>
      <c r="F37" s="11"/>
      <c r="G37" s="11"/>
      <c r="H37" s="11"/>
      <c r="J37" s="11"/>
      <c r="K37" s="13"/>
      <c r="L37" s="13"/>
      <c r="M37" s="11"/>
      <c r="N37" s="11"/>
      <c r="O37" s="11"/>
      <c r="P37" s="11"/>
      <c r="Q37" s="11"/>
      <c r="R37" s="11"/>
      <c r="S37" s="11"/>
      <c r="T37" s="11"/>
      <c r="U37" s="11"/>
    </row>
    <row r="38" spans="1:21" x14ac:dyDescent="0.3">
      <c r="A38" s="11" t="s">
        <v>104</v>
      </c>
      <c r="B38" s="11"/>
      <c r="C38" s="45"/>
      <c r="D38" s="11"/>
      <c r="E38" s="45" t="s">
        <v>26</v>
      </c>
      <c r="F38" s="11">
        <f>'NUR MIT PASSWORT'!$J$20</f>
        <v>1</v>
      </c>
      <c r="G38" s="13" t="s">
        <v>24</v>
      </c>
      <c r="H38" s="13">
        <f>((99+1)-H39*(D22+B22))/2</f>
        <v>-1</v>
      </c>
      <c r="J38" s="11"/>
      <c r="K38" s="13"/>
      <c r="L38" s="13"/>
      <c r="M38" s="11"/>
      <c r="N38" s="11"/>
      <c r="O38" s="11"/>
      <c r="P38" s="11"/>
      <c r="Q38" s="11"/>
      <c r="R38" s="11"/>
      <c r="S38" s="11"/>
      <c r="T38" s="11"/>
      <c r="U38" s="11"/>
    </row>
    <row r="39" spans="1:21" x14ac:dyDescent="0.3">
      <c r="A39" s="148" t="s">
        <v>135</v>
      </c>
      <c r="B39" s="149"/>
      <c r="C39" s="149"/>
      <c r="D39" s="149"/>
      <c r="E39" s="45" t="s">
        <v>27</v>
      </c>
      <c r="F39" s="11">
        <f>'NUR MIT PASSWORT'!$J$21</f>
        <v>50</v>
      </c>
      <c r="G39" s="13" t="s">
        <v>126</v>
      </c>
      <c r="H39" s="13">
        <f>((2*(D22*99+B22*1))-((D22+B22)*(99+1)))/((2*(D22^2+B22^2))-(D22+B22)^2)</f>
        <v>2</v>
      </c>
      <c r="J39" s="11"/>
      <c r="K39" s="11"/>
      <c r="L39" s="11"/>
      <c r="M39" s="11"/>
      <c r="N39" s="11"/>
      <c r="O39" s="11"/>
      <c r="P39" s="11"/>
      <c r="Q39" s="11"/>
      <c r="R39" s="11"/>
      <c r="S39" s="11"/>
      <c r="T39" s="11"/>
      <c r="U39" s="11"/>
    </row>
    <row r="40" spans="1:21" x14ac:dyDescent="0.3">
      <c r="A40" s="11"/>
      <c r="B40" s="11"/>
      <c r="C40" s="13"/>
      <c r="D40" s="13"/>
      <c r="G40" s="11"/>
      <c r="H40" s="11"/>
      <c r="J40" s="11"/>
      <c r="K40" s="11"/>
      <c r="M40" s="11"/>
      <c r="N40" s="11"/>
      <c r="O40" s="11"/>
      <c r="P40" s="11"/>
      <c r="Q40" s="11"/>
      <c r="R40" s="11"/>
      <c r="S40" s="11"/>
      <c r="T40" s="11"/>
      <c r="U40" s="11"/>
    </row>
    <row r="41" spans="1:21" x14ac:dyDescent="0.3">
      <c r="A41" s="11"/>
      <c r="B41" s="11"/>
      <c r="C41" s="45"/>
      <c r="D41" s="11"/>
      <c r="G41" s="11"/>
      <c r="H41" s="11"/>
      <c r="J41" s="11"/>
      <c r="K41" s="11"/>
      <c r="L41" s="11"/>
      <c r="M41" s="11"/>
      <c r="N41" s="11"/>
      <c r="O41" s="11"/>
      <c r="P41" s="11"/>
      <c r="Q41" s="11"/>
      <c r="R41" s="11"/>
      <c r="S41" s="11"/>
      <c r="T41" s="11"/>
      <c r="U41" s="11"/>
    </row>
    <row r="42" spans="1:21" x14ac:dyDescent="0.3">
      <c r="A42" s="11"/>
      <c r="B42" s="11"/>
      <c r="C42" s="45"/>
      <c r="D42" s="11"/>
      <c r="E42" s="11"/>
      <c r="G42" s="11"/>
      <c r="H42" s="11"/>
      <c r="J42" s="11"/>
      <c r="K42" s="11"/>
      <c r="L42" s="11"/>
      <c r="M42" s="11"/>
      <c r="N42" s="11"/>
      <c r="O42" s="11"/>
      <c r="P42" s="11"/>
      <c r="Q42" s="11"/>
      <c r="R42" s="11"/>
      <c r="S42" s="11"/>
      <c r="T42" s="11"/>
      <c r="U42" s="11"/>
    </row>
    <row r="43" spans="1:21" x14ac:dyDescent="0.3">
      <c r="A43" s="11"/>
      <c r="B43" s="11"/>
      <c r="C43" s="46"/>
      <c r="D43" s="11"/>
      <c r="E43" s="11"/>
      <c r="F43" s="11"/>
      <c r="G43" s="11"/>
      <c r="H43" s="11"/>
      <c r="J43" s="11"/>
      <c r="K43" s="11"/>
      <c r="L43" s="11"/>
      <c r="M43" s="11"/>
      <c r="N43" s="11"/>
      <c r="O43" s="11"/>
      <c r="P43" s="11"/>
      <c r="Q43" s="11"/>
      <c r="R43" s="11"/>
      <c r="S43" s="11"/>
      <c r="T43" s="11"/>
      <c r="U43" s="11"/>
    </row>
    <row r="44" spans="1:21" x14ac:dyDescent="0.3">
      <c r="A44" s="11"/>
      <c r="B44" s="11"/>
      <c r="C44" s="11" t="s">
        <v>14</v>
      </c>
      <c r="D44" s="11" t="s">
        <v>15</v>
      </c>
      <c r="E44" s="11" t="s">
        <v>16</v>
      </c>
      <c r="F44" s="11" t="str">
        <f t="shared" ref="F44:F65" si="16">E44</f>
        <v>fi - Werte</v>
      </c>
      <c r="G44" s="11" t="s">
        <v>37</v>
      </c>
      <c r="H44" s="11" t="s">
        <v>38</v>
      </c>
      <c r="J44" s="11"/>
      <c r="K44" s="11"/>
      <c r="L44" s="11"/>
      <c r="M44" s="11"/>
      <c r="N44" s="11"/>
      <c r="O44" s="11"/>
      <c r="P44" s="11"/>
      <c r="Q44" s="11"/>
      <c r="R44" s="11"/>
      <c r="S44" s="11"/>
      <c r="T44" s="11"/>
      <c r="U44" s="11"/>
    </row>
    <row r="45" spans="1:21" x14ac:dyDescent="0.3">
      <c r="A45" s="9" t="s">
        <v>9</v>
      </c>
      <c r="C45" s="11">
        <f>(B54)</f>
        <v>0.5</v>
      </c>
      <c r="D45" s="11">
        <f>(C45-B50)/(D22-B50)*98+1</f>
        <v>1</v>
      </c>
      <c r="E45" s="11">
        <f>(1/'NUR MIT PASSWORT'!$J$24)</f>
        <v>0.01</v>
      </c>
      <c r="F45" s="11">
        <f t="shared" si="16"/>
        <v>0.01</v>
      </c>
      <c r="G45" s="11"/>
      <c r="H45" s="11"/>
      <c r="J45" s="11"/>
      <c r="K45" s="11"/>
      <c r="L45" s="11"/>
      <c r="M45" s="11"/>
      <c r="N45" s="11"/>
      <c r="O45" s="11"/>
      <c r="P45" s="11"/>
      <c r="Q45" s="11"/>
      <c r="R45" s="11"/>
      <c r="S45" s="11"/>
      <c r="T45" s="11"/>
      <c r="U45" s="11"/>
    </row>
    <row r="46" spans="1:21" x14ac:dyDescent="0.3">
      <c r="A46" s="9" t="s">
        <v>30</v>
      </c>
      <c r="B46" s="44"/>
      <c r="C46" s="11">
        <f t="shared" ref="C46:C64" si="17">(C45+1*$C$70)</f>
        <v>2.9750000000000001</v>
      </c>
      <c r="D46" s="11">
        <f>(C46-B50)/(D22-B50)*98+1</f>
        <v>5.9</v>
      </c>
      <c r="E46" s="11">
        <f t="shared" ref="E46:E65" si="18">$E$45</f>
        <v>0.01</v>
      </c>
      <c r="F46" s="11">
        <f t="shared" si="16"/>
        <v>0.01</v>
      </c>
      <c r="G46" s="11"/>
      <c r="H46" s="11"/>
      <c r="J46" s="11"/>
      <c r="K46" s="11"/>
      <c r="L46" s="11"/>
      <c r="M46" s="11"/>
      <c r="N46" s="11"/>
      <c r="O46" s="11"/>
      <c r="P46" s="11"/>
      <c r="Q46" s="11"/>
      <c r="R46" s="11"/>
      <c r="S46" s="11"/>
      <c r="T46" s="11"/>
      <c r="U46" s="11"/>
    </row>
    <row r="47" spans="1:21" x14ac:dyDescent="0.3">
      <c r="B47" s="11"/>
      <c r="C47" s="11">
        <f t="shared" si="17"/>
        <v>5.45</v>
      </c>
      <c r="D47" s="11">
        <f>(C47-B50)/(D22-B50)*98+1</f>
        <v>10.8</v>
      </c>
      <c r="E47" s="11">
        <f t="shared" si="18"/>
        <v>0.01</v>
      </c>
      <c r="F47" s="11">
        <f t="shared" si="16"/>
        <v>0.01</v>
      </c>
      <c r="G47" s="11"/>
      <c r="H47" s="11"/>
      <c r="J47" s="11"/>
      <c r="K47" s="11"/>
      <c r="L47" s="11"/>
      <c r="M47" s="11"/>
      <c r="N47" s="11"/>
      <c r="O47" s="11"/>
      <c r="P47" s="11"/>
      <c r="Q47" s="11"/>
      <c r="R47" s="11"/>
      <c r="S47" s="11"/>
      <c r="T47" s="11"/>
      <c r="U47" s="11"/>
    </row>
    <row r="48" spans="1:21" x14ac:dyDescent="0.3">
      <c r="B48" s="11"/>
      <c r="C48" s="11">
        <f t="shared" si="17"/>
        <v>7.9250000000000007</v>
      </c>
      <c r="D48" s="11">
        <f>(C48-B50)/(D22-B50)*98+1</f>
        <v>15.700000000000003</v>
      </c>
      <c r="E48" s="11">
        <f t="shared" si="18"/>
        <v>0.01</v>
      </c>
      <c r="F48" s="11">
        <f t="shared" si="16"/>
        <v>0.01</v>
      </c>
      <c r="G48" s="11"/>
      <c r="H48" s="11"/>
      <c r="K48" s="11"/>
      <c r="L48" s="11"/>
      <c r="M48" s="11"/>
      <c r="N48" s="11"/>
      <c r="O48" s="11"/>
      <c r="P48" s="11"/>
      <c r="Q48" s="11"/>
      <c r="R48" s="11"/>
      <c r="S48" s="11"/>
      <c r="T48" s="11"/>
      <c r="U48" s="11"/>
    </row>
    <row r="49" spans="1:21" x14ac:dyDescent="0.3">
      <c r="C49" s="11">
        <f t="shared" si="17"/>
        <v>10.4</v>
      </c>
      <c r="D49" s="11">
        <f>(C49-B50)/(D22-B50)*98+1</f>
        <v>20.6</v>
      </c>
      <c r="E49" s="11">
        <f t="shared" si="18"/>
        <v>0.01</v>
      </c>
      <c r="F49" s="11">
        <f t="shared" si="16"/>
        <v>0.01</v>
      </c>
      <c r="G49" s="11"/>
      <c r="H49" s="11"/>
      <c r="K49" s="11"/>
      <c r="L49" s="11"/>
      <c r="M49" s="11"/>
      <c r="N49" s="11"/>
      <c r="O49" s="11"/>
      <c r="P49" s="11"/>
      <c r="Q49" s="11"/>
      <c r="R49" s="11"/>
      <c r="S49" s="11"/>
      <c r="T49" s="11"/>
      <c r="U49" s="11"/>
    </row>
    <row r="50" spans="1:21" x14ac:dyDescent="0.3">
      <c r="A50" s="9" t="s">
        <v>139</v>
      </c>
      <c r="B50" s="11">
        <f>$F$36</f>
        <v>0.5</v>
      </c>
      <c r="C50" s="11">
        <f t="shared" si="17"/>
        <v>12.875</v>
      </c>
      <c r="D50" s="11">
        <f>(C50-B50)/(D22-B50)*98+1</f>
        <v>25.5</v>
      </c>
      <c r="E50" s="11">
        <f t="shared" si="18"/>
        <v>0.01</v>
      </c>
      <c r="F50" s="11">
        <f t="shared" si="16"/>
        <v>0.01</v>
      </c>
      <c r="G50" s="11"/>
      <c r="H50" s="11"/>
      <c r="K50" s="11"/>
      <c r="L50" s="11"/>
      <c r="M50" s="11"/>
      <c r="N50" s="11"/>
      <c r="O50" s="11"/>
      <c r="P50" s="11"/>
      <c r="Q50" s="11"/>
      <c r="R50" s="11"/>
      <c r="S50" s="11"/>
      <c r="T50" s="11"/>
      <c r="U50" s="11"/>
    </row>
    <row r="51" spans="1:21" x14ac:dyDescent="0.3">
      <c r="A51" s="9" t="s">
        <v>11</v>
      </c>
      <c r="B51" s="11">
        <f>$F$37</f>
        <v>0</v>
      </c>
      <c r="C51" s="11">
        <f t="shared" si="17"/>
        <v>15.35</v>
      </c>
      <c r="D51" s="11">
        <f>(C51-B50)/(D22-B50)*98+1</f>
        <v>30.4</v>
      </c>
      <c r="E51" s="11">
        <f t="shared" si="18"/>
        <v>0.01</v>
      </c>
      <c r="F51" s="11">
        <f t="shared" si="16"/>
        <v>0.01</v>
      </c>
      <c r="G51" s="11"/>
      <c r="H51" s="11"/>
      <c r="J51" s="11"/>
      <c r="L51" s="11"/>
      <c r="M51" s="11"/>
      <c r="N51" s="11"/>
      <c r="O51" s="11"/>
      <c r="P51" s="11"/>
      <c r="Q51" s="11"/>
      <c r="R51" s="11"/>
      <c r="S51" s="11"/>
      <c r="T51" s="11"/>
      <c r="U51" s="11"/>
    </row>
    <row r="52" spans="1:21" x14ac:dyDescent="0.3">
      <c r="B52" s="11"/>
      <c r="C52" s="11">
        <f t="shared" si="17"/>
        <v>17.824999999999999</v>
      </c>
      <c r="D52" s="11">
        <f>(C52-B50)/(D22-B50)*98+1</f>
        <v>35.299999999999997</v>
      </c>
      <c r="E52" s="11">
        <f t="shared" si="18"/>
        <v>0.01</v>
      </c>
      <c r="F52" s="11">
        <f t="shared" si="16"/>
        <v>0.01</v>
      </c>
      <c r="G52" s="11"/>
      <c r="H52" s="11"/>
      <c r="J52" s="11"/>
      <c r="L52" s="11"/>
      <c r="M52" s="11"/>
      <c r="N52" s="11"/>
      <c r="O52" s="11"/>
      <c r="P52" s="11"/>
      <c r="Q52" s="11"/>
      <c r="R52" s="11"/>
      <c r="S52" s="11"/>
      <c r="T52" s="11"/>
      <c r="U52" s="11"/>
    </row>
    <row r="53" spans="1:21" x14ac:dyDescent="0.3">
      <c r="C53" s="11">
        <f t="shared" si="17"/>
        <v>20.3</v>
      </c>
      <c r="D53" s="11">
        <f>(C53-B50)/(D22-B50)*98+1</f>
        <v>40.200000000000003</v>
      </c>
      <c r="E53" s="11">
        <f t="shared" si="18"/>
        <v>0.01</v>
      </c>
      <c r="F53" s="11">
        <f t="shared" si="16"/>
        <v>0.01</v>
      </c>
      <c r="G53" s="11"/>
      <c r="H53" s="11"/>
      <c r="J53" s="11"/>
      <c r="L53" s="11"/>
      <c r="M53" s="13"/>
      <c r="N53" s="11"/>
      <c r="O53" s="11"/>
      <c r="P53" s="11"/>
      <c r="Q53" s="11"/>
      <c r="R53" s="11"/>
      <c r="S53" s="11"/>
      <c r="T53" s="11"/>
      <c r="U53" s="11"/>
    </row>
    <row r="54" spans="1:21" x14ac:dyDescent="0.3">
      <c r="A54" s="9" t="s">
        <v>28</v>
      </c>
      <c r="B54" s="11">
        <f>$B$50</f>
        <v>0.5</v>
      </c>
      <c r="C54" s="11">
        <f t="shared" si="17"/>
        <v>22.775000000000002</v>
      </c>
      <c r="D54" s="11">
        <f>(C54-B50)/(D22-B50)*98+1</f>
        <v>45.100000000000009</v>
      </c>
      <c r="E54" s="11">
        <f t="shared" si="18"/>
        <v>0.01</v>
      </c>
      <c r="F54" s="11">
        <f t="shared" si="16"/>
        <v>0.01</v>
      </c>
      <c r="G54" s="11"/>
      <c r="H54" s="11"/>
      <c r="J54" s="11"/>
      <c r="L54" s="11"/>
      <c r="M54" s="11"/>
      <c r="N54" s="11"/>
      <c r="O54" s="11"/>
      <c r="P54" s="11"/>
      <c r="Q54" s="11"/>
      <c r="R54" s="11"/>
      <c r="S54" s="11"/>
      <c r="T54" s="11"/>
      <c r="U54" s="11"/>
    </row>
    <row r="55" spans="1:21" x14ac:dyDescent="0.3">
      <c r="A55" s="9" t="s">
        <v>29</v>
      </c>
      <c r="B55" s="11">
        <f>$F$39</f>
        <v>50</v>
      </c>
      <c r="C55" s="11">
        <f t="shared" si="17"/>
        <v>25.250000000000004</v>
      </c>
      <c r="D55" s="11">
        <f>(C55-B50)/(D22-B50)*98+1</f>
        <v>50.000000000000014</v>
      </c>
      <c r="E55" s="11">
        <f t="shared" si="18"/>
        <v>0.01</v>
      </c>
      <c r="F55" s="11">
        <f t="shared" si="16"/>
        <v>0.01</v>
      </c>
      <c r="G55" s="11"/>
      <c r="H55" s="11"/>
      <c r="J55" s="11"/>
      <c r="L55" s="11"/>
      <c r="M55" s="11"/>
      <c r="N55" s="11"/>
      <c r="O55" s="11"/>
      <c r="P55" s="11"/>
      <c r="Q55" s="11"/>
      <c r="R55" s="11"/>
      <c r="S55" s="11"/>
      <c r="T55" s="11"/>
      <c r="U55" s="11"/>
    </row>
    <row r="56" spans="1:21" x14ac:dyDescent="0.3">
      <c r="A56" s="9" t="s">
        <v>13</v>
      </c>
      <c r="B56" s="11">
        <f>$C$22</f>
        <v>25.5</v>
      </c>
      <c r="C56" s="11">
        <f t="shared" si="17"/>
        <v>27.725000000000005</v>
      </c>
      <c r="D56" s="11">
        <f>(C56-B50)/(D22-B50)*98+1</f>
        <v>54.900000000000013</v>
      </c>
      <c r="E56" s="11">
        <f t="shared" si="18"/>
        <v>0.01</v>
      </c>
      <c r="F56" s="11">
        <f t="shared" si="16"/>
        <v>0.01</v>
      </c>
      <c r="G56" s="11"/>
      <c r="H56" s="11"/>
      <c r="J56" s="11"/>
      <c r="L56" s="11"/>
      <c r="M56" s="11"/>
      <c r="N56" s="11"/>
      <c r="O56" s="11"/>
      <c r="P56" s="11"/>
      <c r="Q56" s="11"/>
      <c r="R56" s="11"/>
      <c r="S56" s="11"/>
      <c r="T56" s="11"/>
      <c r="U56" s="11"/>
    </row>
    <row r="57" spans="1:21" x14ac:dyDescent="0.3">
      <c r="A57" s="9" t="s">
        <v>125</v>
      </c>
      <c r="B57" s="11">
        <f>$E$45</f>
        <v>0.01</v>
      </c>
      <c r="C57" s="11">
        <f t="shared" si="17"/>
        <v>30.200000000000006</v>
      </c>
      <c r="D57" s="11">
        <f>(C57-B50)/(D22-B50)*98+1</f>
        <v>59.800000000000011</v>
      </c>
      <c r="E57" s="11">
        <f t="shared" si="18"/>
        <v>0.01</v>
      </c>
      <c r="F57" s="11">
        <f t="shared" si="16"/>
        <v>0.01</v>
      </c>
      <c r="G57" s="11"/>
      <c r="H57" s="11"/>
      <c r="J57" s="11"/>
      <c r="L57" s="11"/>
      <c r="M57" s="11"/>
      <c r="N57" s="11"/>
      <c r="O57" s="11"/>
      <c r="P57" s="11"/>
      <c r="Q57" s="11"/>
      <c r="R57" s="11"/>
      <c r="S57" s="11"/>
      <c r="T57" s="11"/>
      <c r="U57" s="11"/>
    </row>
    <row r="58" spans="1:21" x14ac:dyDescent="0.3">
      <c r="C58" s="11">
        <f t="shared" si="17"/>
        <v>32.675000000000004</v>
      </c>
      <c r="D58" s="11">
        <f>(C58-B50)/(D22-B50)*98+1</f>
        <v>64.700000000000017</v>
      </c>
      <c r="E58" s="11">
        <f t="shared" si="18"/>
        <v>0.01</v>
      </c>
      <c r="F58" s="11">
        <f t="shared" si="16"/>
        <v>0.01</v>
      </c>
      <c r="G58" s="11"/>
      <c r="H58" s="11"/>
      <c r="J58" s="11"/>
      <c r="L58" s="11"/>
      <c r="M58" s="11"/>
      <c r="N58" s="11"/>
      <c r="O58" s="11"/>
      <c r="P58" s="11"/>
      <c r="Q58" s="11"/>
      <c r="R58" s="11"/>
      <c r="S58" s="11"/>
      <c r="T58" s="11"/>
      <c r="U58" s="11"/>
    </row>
    <row r="59" spans="1:21" x14ac:dyDescent="0.3">
      <c r="C59" s="11">
        <f t="shared" si="17"/>
        <v>35.150000000000006</v>
      </c>
      <c r="D59" s="11">
        <f>(C59-B50)/(D22-B50)*98+1</f>
        <v>69.600000000000009</v>
      </c>
      <c r="E59" s="11">
        <f t="shared" si="18"/>
        <v>0.01</v>
      </c>
      <c r="F59" s="11">
        <f t="shared" si="16"/>
        <v>0.01</v>
      </c>
      <c r="J59" s="11"/>
      <c r="L59" s="11"/>
      <c r="M59" s="11"/>
      <c r="N59" s="11"/>
      <c r="O59" s="11"/>
      <c r="P59" s="11"/>
      <c r="Q59" s="11"/>
      <c r="R59" s="11"/>
      <c r="S59" s="11"/>
      <c r="T59" s="11"/>
      <c r="U59" s="11"/>
    </row>
    <row r="60" spans="1:21" x14ac:dyDescent="0.3">
      <c r="C60" s="11">
        <f t="shared" si="17"/>
        <v>37.625000000000007</v>
      </c>
      <c r="D60" s="11">
        <f>(C60-B50)/(D22-B50)*98+1</f>
        <v>74.500000000000014</v>
      </c>
      <c r="E60" s="11">
        <f t="shared" si="18"/>
        <v>0.01</v>
      </c>
      <c r="F60" s="11">
        <f t="shared" si="16"/>
        <v>0.01</v>
      </c>
      <c r="I60" s="47"/>
      <c r="J60" s="11"/>
      <c r="L60" s="11"/>
      <c r="M60" s="11"/>
      <c r="N60" s="11"/>
      <c r="O60" s="11"/>
      <c r="P60" s="11"/>
      <c r="Q60" s="11"/>
      <c r="R60" s="11"/>
      <c r="S60" s="11"/>
      <c r="T60" s="11"/>
      <c r="U60" s="11"/>
    </row>
    <row r="61" spans="1:21" x14ac:dyDescent="0.3">
      <c r="C61" s="11">
        <f t="shared" si="17"/>
        <v>40.100000000000009</v>
      </c>
      <c r="D61" s="11">
        <f>(C61-B50)/(D22-B50)*98+1</f>
        <v>79.40000000000002</v>
      </c>
      <c r="E61" s="11">
        <f t="shared" si="18"/>
        <v>0.01</v>
      </c>
      <c r="F61" s="11">
        <f t="shared" si="16"/>
        <v>0.01</v>
      </c>
      <c r="J61" s="11"/>
      <c r="L61" s="11"/>
      <c r="M61" s="11"/>
      <c r="N61" s="11"/>
      <c r="O61" s="11"/>
      <c r="P61" s="11"/>
      <c r="Q61" s="11"/>
      <c r="R61" s="11"/>
      <c r="S61" s="11"/>
      <c r="T61" s="11"/>
      <c r="U61" s="11"/>
    </row>
    <row r="62" spans="1:21" x14ac:dyDescent="0.3">
      <c r="C62" s="11">
        <f t="shared" si="17"/>
        <v>42.57500000000001</v>
      </c>
      <c r="D62" s="11">
        <f>(C62-B50)/(D22-B50)*98+1</f>
        <v>84.300000000000026</v>
      </c>
      <c r="E62" s="11">
        <f t="shared" si="18"/>
        <v>0.01</v>
      </c>
      <c r="F62" s="11">
        <f t="shared" si="16"/>
        <v>0.01</v>
      </c>
      <c r="J62" s="11"/>
      <c r="L62" s="11"/>
      <c r="M62" s="11"/>
      <c r="N62" s="11"/>
      <c r="O62" s="11"/>
      <c r="P62" s="11"/>
      <c r="Q62" s="11"/>
      <c r="R62" s="11"/>
      <c r="S62" s="11"/>
      <c r="T62" s="11"/>
      <c r="U62" s="11"/>
    </row>
    <row r="63" spans="1:21" x14ac:dyDescent="0.3">
      <c r="C63" s="11">
        <f t="shared" si="17"/>
        <v>45.050000000000011</v>
      </c>
      <c r="D63" s="11">
        <f>(C63-B50)/(D22-B50)*98+1</f>
        <v>89.200000000000017</v>
      </c>
      <c r="E63" s="11">
        <f t="shared" si="18"/>
        <v>0.01</v>
      </c>
      <c r="F63" s="11">
        <f t="shared" si="16"/>
        <v>0.01</v>
      </c>
      <c r="J63" s="11"/>
      <c r="L63" s="11"/>
      <c r="M63" s="11"/>
      <c r="N63" s="11"/>
      <c r="O63" s="11"/>
      <c r="P63" s="11"/>
      <c r="Q63" s="11"/>
      <c r="R63" s="11"/>
      <c r="S63" s="11"/>
      <c r="T63" s="11"/>
      <c r="U63" s="11"/>
    </row>
    <row r="64" spans="1:21" x14ac:dyDescent="0.3">
      <c r="C64" s="11">
        <f t="shared" si="17"/>
        <v>47.525000000000013</v>
      </c>
      <c r="D64" s="11">
        <f>(C64-B50)/(D22-B50)*98+1</f>
        <v>94.100000000000023</v>
      </c>
      <c r="E64" s="11">
        <f t="shared" si="18"/>
        <v>0.01</v>
      </c>
      <c r="F64" s="11">
        <f t="shared" si="16"/>
        <v>0.01</v>
      </c>
      <c r="J64" s="11"/>
      <c r="L64" s="11"/>
      <c r="M64" s="11"/>
      <c r="N64" s="11"/>
      <c r="O64" s="11"/>
      <c r="P64" s="11"/>
      <c r="Q64" s="11"/>
      <c r="R64" s="11"/>
      <c r="S64" s="11"/>
      <c r="T64" s="11"/>
      <c r="U64" s="11"/>
    </row>
    <row r="65" spans="1:22" x14ac:dyDescent="0.3">
      <c r="C65" s="11">
        <f>(B55)</f>
        <v>50</v>
      </c>
      <c r="D65" s="11">
        <f>(C65-B50)/(D22-B50)*98+1</f>
        <v>99</v>
      </c>
      <c r="E65" s="11">
        <f t="shared" si="18"/>
        <v>0.01</v>
      </c>
      <c r="F65" s="11">
        <f t="shared" si="16"/>
        <v>0.01</v>
      </c>
      <c r="J65" s="11"/>
      <c r="L65" s="11"/>
      <c r="M65" s="11"/>
      <c r="N65" s="11"/>
      <c r="O65" s="11"/>
      <c r="P65" s="11"/>
      <c r="Q65" s="11"/>
      <c r="R65" s="11"/>
      <c r="S65" s="11"/>
      <c r="T65" s="11"/>
      <c r="U65" s="11"/>
    </row>
    <row r="66" spans="1:22" ht="21" x14ac:dyDescent="0.4">
      <c r="A66" s="48"/>
      <c r="B66" s="9" t="s">
        <v>35</v>
      </c>
      <c r="C66" s="11">
        <f>'NUR MIT PASSWORT'!$J$22</f>
        <v>1</v>
      </c>
      <c r="G66" s="11">
        <v>0</v>
      </c>
      <c r="J66" s="11"/>
      <c r="L66" s="11"/>
      <c r="M66" s="11"/>
      <c r="N66" s="11"/>
      <c r="O66" s="11"/>
      <c r="P66" s="11"/>
      <c r="Q66" s="11"/>
      <c r="R66" s="11"/>
      <c r="S66" s="11"/>
      <c r="T66" s="11"/>
      <c r="U66" s="11"/>
    </row>
    <row r="67" spans="1:22" x14ac:dyDescent="0.3">
      <c r="B67" s="9" t="s">
        <v>35</v>
      </c>
      <c r="C67" s="11">
        <f>'NUR MIT PASSWORT'!$J$22</f>
        <v>1</v>
      </c>
      <c r="G67" s="11">
        <v>99</v>
      </c>
      <c r="H67" s="11"/>
      <c r="J67" s="11"/>
      <c r="L67" s="11"/>
      <c r="M67" s="11"/>
      <c r="N67" s="11"/>
      <c r="O67" s="11"/>
      <c r="P67" s="11"/>
      <c r="Q67" s="11"/>
      <c r="R67" s="11"/>
      <c r="S67" s="11"/>
      <c r="T67" s="11"/>
      <c r="U67" s="11"/>
    </row>
    <row r="68" spans="1:22" x14ac:dyDescent="0.3">
      <c r="A68" s="11"/>
      <c r="B68" s="9" t="s">
        <v>36</v>
      </c>
      <c r="C68" s="11">
        <f>'NUR MIT PASSWORT'!$J$23</f>
        <v>50</v>
      </c>
      <c r="D68" s="49"/>
      <c r="E68" s="11"/>
      <c r="F68" s="11"/>
      <c r="G68" s="11"/>
      <c r="H68" s="11">
        <v>0</v>
      </c>
      <c r="I68" s="11"/>
      <c r="J68" s="11"/>
      <c r="L68" s="11"/>
      <c r="M68" s="11"/>
      <c r="N68" s="11"/>
      <c r="O68" s="11"/>
      <c r="P68" s="11"/>
      <c r="Q68" s="11"/>
      <c r="R68" s="11"/>
      <c r="S68" s="11"/>
      <c r="T68" s="11"/>
      <c r="U68" s="11"/>
    </row>
    <row r="69" spans="1:22" x14ac:dyDescent="0.3">
      <c r="A69" s="11"/>
      <c r="B69" s="9" t="s">
        <v>36</v>
      </c>
      <c r="C69" s="11">
        <f>'NUR MIT PASSWORT'!$J$23</f>
        <v>50</v>
      </c>
      <c r="D69" s="11"/>
      <c r="E69" s="11"/>
      <c r="F69" s="11"/>
      <c r="G69" s="11"/>
      <c r="H69" s="11">
        <v>99</v>
      </c>
      <c r="I69" s="11"/>
      <c r="J69" s="11"/>
      <c r="L69" s="11"/>
      <c r="M69" s="11"/>
      <c r="N69" s="11"/>
      <c r="O69" s="11"/>
      <c r="P69" s="11"/>
      <c r="Q69" s="11"/>
      <c r="R69" s="11"/>
      <c r="S69" s="11"/>
      <c r="T69" s="11"/>
      <c r="U69" s="11"/>
    </row>
    <row r="70" spans="1:22" x14ac:dyDescent="0.3">
      <c r="A70" s="11"/>
      <c r="B70" s="11"/>
      <c r="C70" s="11">
        <f>(C65-C45)/20</f>
        <v>2.4750000000000001</v>
      </c>
      <c r="D70" s="11"/>
      <c r="E70" s="11"/>
      <c r="F70" s="11"/>
      <c r="G70" s="11"/>
      <c r="H70" s="11"/>
      <c r="I70" s="11"/>
      <c r="J70" s="11"/>
      <c r="L70" s="11"/>
      <c r="M70" s="11"/>
      <c r="N70" s="11"/>
      <c r="O70" s="11"/>
      <c r="P70" s="11"/>
      <c r="Q70" s="11"/>
      <c r="R70" s="11"/>
      <c r="S70" s="11"/>
      <c r="T70" s="11"/>
      <c r="U70" s="11"/>
    </row>
    <row r="71" spans="1:22" x14ac:dyDescent="0.3">
      <c r="A71" s="11"/>
      <c r="B71" s="11"/>
      <c r="C71" s="11"/>
      <c r="E71" s="11"/>
      <c r="F71" s="11"/>
      <c r="G71" s="11"/>
      <c r="H71" s="11"/>
      <c r="I71" s="11"/>
      <c r="J71" s="11"/>
      <c r="L71" s="11"/>
      <c r="M71" s="11"/>
      <c r="N71" s="11"/>
      <c r="O71" s="11"/>
      <c r="P71" s="11"/>
      <c r="Q71" s="11"/>
      <c r="R71" s="11"/>
      <c r="S71" s="11"/>
      <c r="T71" s="11"/>
      <c r="U71" s="11"/>
    </row>
    <row r="72" spans="1:22" x14ac:dyDescent="0.3">
      <c r="A72" s="11"/>
      <c r="B72" s="11"/>
      <c r="C72" s="11"/>
      <c r="E72" s="168" t="s">
        <v>82</v>
      </c>
      <c r="F72" s="148"/>
      <c r="G72" s="148"/>
      <c r="H72" s="148"/>
      <c r="I72" s="168" t="s">
        <v>83</v>
      </c>
      <c r="J72" s="148"/>
      <c r="L72" s="11"/>
      <c r="M72" s="148" t="s">
        <v>89</v>
      </c>
      <c r="N72" s="148"/>
      <c r="O72" s="148"/>
      <c r="P72" s="148"/>
      <c r="Q72" s="148"/>
      <c r="R72" s="148" t="s">
        <v>90</v>
      </c>
      <c r="S72" s="149"/>
      <c r="T72" s="149"/>
      <c r="U72" s="149"/>
      <c r="V72" s="149"/>
    </row>
    <row r="73" spans="1:22" x14ac:dyDescent="0.3">
      <c r="A73" s="11" t="s">
        <v>69</v>
      </c>
      <c r="B73" s="11" t="s">
        <v>70</v>
      </c>
      <c r="C73" s="13" t="s">
        <v>71</v>
      </c>
      <c r="D73" s="13" t="s">
        <v>76</v>
      </c>
      <c r="E73" s="11"/>
      <c r="F73" s="13" t="s">
        <v>80</v>
      </c>
      <c r="G73" s="13" t="s">
        <v>81</v>
      </c>
      <c r="H73" s="11"/>
      <c r="I73" s="11" t="s">
        <v>79</v>
      </c>
      <c r="J73" s="11"/>
      <c r="L73" s="11" t="s">
        <v>131</v>
      </c>
      <c r="M73" s="11" t="s">
        <v>84</v>
      </c>
      <c r="N73" s="11" t="s">
        <v>85</v>
      </c>
      <c r="O73" s="11" t="s">
        <v>86</v>
      </c>
      <c r="P73" s="11" t="s">
        <v>87</v>
      </c>
      <c r="Q73" s="11" t="s">
        <v>88</v>
      </c>
      <c r="R73" s="11" t="s">
        <v>84</v>
      </c>
      <c r="S73" s="11" t="s">
        <v>85</v>
      </c>
      <c r="T73" s="11" t="s">
        <v>86</v>
      </c>
      <c r="U73" s="11" t="s">
        <v>87</v>
      </c>
      <c r="V73" s="11" t="s">
        <v>88</v>
      </c>
    </row>
    <row r="74" spans="1:22" x14ac:dyDescent="0.3">
      <c r="A74" s="11">
        <f ca="1">'FALL 5'!A74</f>
        <v>28.040272016733912</v>
      </c>
      <c r="B74" s="11">
        <f ca="1">'FALL 5'!B74</f>
        <v>2.3210931377733552</v>
      </c>
      <c r="C74" s="13">
        <f>'FALL 3'!C74</f>
        <v>1</v>
      </c>
      <c r="D74" s="11">
        <f ca="1">IF(C74=0,"",(B74*0.01*(B35)+K78))</f>
        <v>3.2978822063956215</v>
      </c>
      <c r="E74" s="11"/>
      <c r="F74" s="11">
        <f ca="1">IF(D74="","",(D74*((D22-F36)/(99-0))+F36))</f>
        <v>2.148941103197811</v>
      </c>
      <c r="G74" s="11">
        <f t="shared" ref="G74:G137" ca="1" si="19">D74</f>
        <v>3.2978822063956215</v>
      </c>
      <c r="H74" s="50" t="str">
        <f ca="1">IF(I176=C74,I74,"")</f>
        <v/>
      </c>
      <c r="I74" s="11">
        <f t="shared" ref="I74:I137" ca="1" si="20">IF(F74="","",ROUND(F74,1))</f>
        <v>2.1</v>
      </c>
      <c r="J74" s="13"/>
      <c r="K74" s="51">
        <f>'NUR MIT PASSWORT'!$J$23</f>
        <v>50</v>
      </c>
      <c r="L74" s="11">
        <f ca="1">IF(D74="","",(B23+1*L185))</f>
        <v>1.2450000000000001</v>
      </c>
      <c r="M74" s="11">
        <f t="shared" ref="M74:M137" ca="1" si="21">I74</f>
        <v>2.1</v>
      </c>
      <c r="N74" s="11">
        <f ca="1">IF(M74="","",(M74^2))</f>
        <v>4.41</v>
      </c>
      <c r="O74" s="11">
        <f ca="1">IF(D74="","",(L74*H39)+H38)</f>
        <v>1.4900000000000002</v>
      </c>
      <c r="P74" s="11">
        <f ca="1">(IF(O74="","",O74^2))</f>
        <v>2.2201000000000009</v>
      </c>
      <c r="Q74" s="11">
        <f ca="1">IF(M74="","",(M74*O74))</f>
        <v>3.1290000000000004</v>
      </c>
      <c r="R74" s="11">
        <f ca="1">IF(M74="","",ROUND(M74,0))</f>
        <v>2</v>
      </c>
      <c r="S74" s="11">
        <f ca="1">IF(M74="","",(R74^2))</f>
        <v>4</v>
      </c>
      <c r="T74" s="11">
        <f t="shared" ref="T74:U89" ca="1" si="22">O74</f>
        <v>1.4900000000000002</v>
      </c>
      <c r="U74" s="11">
        <f t="shared" ca="1" si="22"/>
        <v>2.2201000000000009</v>
      </c>
      <c r="V74" s="11">
        <f ca="1">IF(M74="","",(R74*T74))</f>
        <v>2.9800000000000004</v>
      </c>
    </row>
    <row r="75" spans="1:22" x14ac:dyDescent="0.3">
      <c r="A75" s="11">
        <f ca="1">'FALL 5'!A75</f>
        <v>14.49379961208353</v>
      </c>
      <c r="B75" s="11">
        <f ca="1">'FALL 5'!B75</f>
        <v>3.6181460197162254</v>
      </c>
      <c r="C75" s="11">
        <f>'FALL 3'!C75</f>
        <v>2</v>
      </c>
      <c r="D75" s="11">
        <f ca="1">IF(C75=0,"",(B75*0.01*(B35)+K78))</f>
        <v>4.5819645595190632</v>
      </c>
      <c r="E75" s="11"/>
      <c r="F75" s="11">
        <f ca="1">IF(D75="","",(D75*((D22-F36)/(99-0))+F36))</f>
        <v>2.7909822797595316</v>
      </c>
      <c r="G75" s="11">
        <f t="shared" ca="1" si="19"/>
        <v>4.5819645595190632</v>
      </c>
      <c r="H75" s="50" t="str">
        <f ca="1">IF(I176=C75,I75,"")</f>
        <v/>
      </c>
      <c r="I75" s="11">
        <f t="shared" ca="1" si="20"/>
        <v>2.8</v>
      </c>
      <c r="J75" s="13" t="s">
        <v>75</v>
      </c>
      <c r="K75" s="51">
        <f>'NUR MIT PASSWORT'!$J$22</f>
        <v>1</v>
      </c>
      <c r="L75" s="11">
        <f ca="1">IF(D75="","",(L74+2*L185))</f>
        <v>1.7350000000000001</v>
      </c>
      <c r="M75" s="11">
        <f t="shared" ca="1" si="21"/>
        <v>2.8</v>
      </c>
      <c r="N75" s="11">
        <f t="shared" ref="N75:N138" ca="1" si="23">IF(M75="","",(M75^2))</f>
        <v>7.839999999999999</v>
      </c>
      <c r="O75" s="11">
        <f ca="1">IF(D75="","",(L75*H39)+H38)</f>
        <v>2.4700000000000002</v>
      </c>
      <c r="P75" s="11">
        <f t="shared" ref="P75:P138" ca="1" si="24">(IF(O75="","",O75^2))</f>
        <v>6.1009000000000011</v>
      </c>
      <c r="Q75" s="11">
        <f t="shared" ref="Q75:Q138" ca="1" si="25">IF(M75="","",(M75*O75))</f>
        <v>6.9160000000000004</v>
      </c>
      <c r="R75" s="11">
        <f t="shared" ref="R75:R138" ca="1" si="26">IF(M75="","",ROUND(M75,0))</f>
        <v>3</v>
      </c>
      <c r="S75" s="11">
        <f t="shared" ref="S75:S138" ca="1" si="27">IF(M75="","",(R75^2))</f>
        <v>9</v>
      </c>
      <c r="T75" s="11">
        <f t="shared" ca="1" si="22"/>
        <v>2.4700000000000002</v>
      </c>
      <c r="U75" s="11">
        <f t="shared" ca="1" si="22"/>
        <v>6.1009000000000011</v>
      </c>
      <c r="V75" s="11">
        <f t="shared" ref="V75:V138" ca="1" si="28">IF(M75="","",(R75*T75))</f>
        <v>7.41</v>
      </c>
    </row>
    <row r="76" spans="1:22" x14ac:dyDescent="0.3">
      <c r="A76" s="11">
        <f ca="1">'FALL 5'!A76</f>
        <v>30.928527190486321</v>
      </c>
      <c r="B76" s="11">
        <f ca="1">'FALL 5'!B76</f>
        <v>3.6249997631134772</v>
      </c>
      <c r="C76" s="11">
        <f>'FALL 3'!C76</f>
        <v>3</v>
      </c>
      <c r="D76" s="11">
        <f ca="1">IF(C76=0,"",(B76*0.01*(B35)+K78))</f>
        <v>4.5887497654823424</v>
      </c>
      <c r="E76" s="11"/>
      <c r="F76" s="11">
        <f ca="1">IF(D76="","",(D76*((D22-F36)/(99-0))+F36))</f>
        <v>2.7943748827411712</v>
      </c>
      <c r="G76" s="11">
        <f t="shared" ca="1" si="19"/>
        <v>4.5887497654823424</v>
      </c>
      <c r="H76" s="50" t="str">
        <f ca="1">IF(I176=C76,I76,"")</f>
        <v/>
      </c>
      <c r="I76" s="11">
        <f t="shared" ca="1" si="20"/>
        <v>2.8</v>
      </c>
      <c r="J76" s="11"/>
      <c r="L76" s="11">
        <f ca="1">IF(D76="","",(L75+2*L185))</f>
        <v>2.2250000000000001</v>
      </c>
      <c r="M76" s="11">
        <f t="shared" ca="1" si="21"/>
        <v>2.8</v>
      </c>
      <c r="N76" s="11">
        <f t="shared" ca="1" si="23"/>
        <v>7.839999999999999</v>
      </c>
      <c r="O76" s="11">
        <f ca="1">IF(D76="","",(L76*H39)+H38)</f>
        <v>3.45</v>
      </c>
      <c r="P76" s="11">
        <f t="shared" ca="1" si="24"/>
        <v>11.902500000000002</v>
      </c>
      <c r="Q76" s="11">
        <f t="shared" ca="1" si="25"/>
        <v>9.66</v>
      </c>
      <c r="R76" s="11">
        <f t="shared" ca="1" si="26"/>
        <v>3</v>
      </c>
      <c r="S76" s="11">
        <f t="shared" ca="1" si="27"/>
        <v>9</v>
      </c>
      <c r="T76" s="11">
        <f t="shared" ca="1" si="22"/>
        <v>3.45</v>
      </c>
      <c r="U76" s="11">
        <f t="shared" ca="1" si="22"/>
        <v>11.902500000000002</v>
      </c>
      <c r="V76" s="11">
        <f t="shared" ca="1" si="28"/>
        <v>10.350000000000001</v>
      </c>
    </row>
    <row r="77" spans="1:22" x14ac:dyDescent="0.3">
      <c r="A77" s="11">
        <f ca="1">'FALL 5'!A77</f>
        <v>75.576022612968487</v>
      </c>
      <c r="B77" s="11">
        <f ca="1">'FALL 5'!B77</f>
        <v>4.3786339455653129</v>
      </c>
      <c r="C77" s="11">
        <f>'FALL 3'!C77</f>
        <v>4</v>
      </c>
      <c r="D77" s="11">
        <f ca="1">IF(C77=0,"",(B77*0.01*(B35)+K78))</f>
        <v>5.3348476061096592</v>
      </c>
      <c r="E77" s="11"/>
      <c r="F77" s="11">
        <f ca="1">IF(D77="","",(D77*((D22-F36)/(99-0))+F36))</f>
        <v>3.1674238030548296</v>
      </c>
      <c r="G77" s="11">
        <f t="shared" ca="1" si="19"/>
        <v>5.3348476061096592</v>
      </c>
      <c r="H77" s="50" t="str">
        <f ca="1">IF(I176=C77,I77,"")</f>
        <v/>
      </c>
      <c r="I77" s="11">
        <f t="shared" ca="1" si="20"/>
        <v>3.2</v>
      </c>
      <c r="J77" s="13"/>
      <c r="K77" s="51"/>
      <c r="L77" s="11">
        <f ca="1">IF(D77="","",(L76+2*L185))</f>
        <v>2.7149999999999999</v>
      </c>
      <c r="M77" s="11">
        <f t="shared" ca="1" si="21"/>
        <v>3.2</v>
      </c>
      <c r="N77" s="11">
        <f t="shared" ca="1" si="23"/>
        <v>10.240000000000002</v>
      </c>
      <c r="O77" s="11">
        <f ca="1">IF(D77="","",(L77*H39)+H38)</f>
        <v>4.43</v>
      </c>
      <c r="P77" s="9">
        <f t="shared" ca="1" si="24"/>
        <v>19.624899999999997</v>
      </c>
      <c r="Q77" s="9">
        <f t="shared" ca="1" si="25"/>
        <v>14.176</v>
      </c>
      <c r="R77" s="11">
        <f t="shared" ca="1" si="26"/>
        <v>3</v>
      </c>
      <c r="S77" s="11">
        <f t="shared" ca="1" si="27"/>
        <v>9</v>
      </c>
      <c r="T77" s="11">
        <f t="shared" ca="1" si="22"/>
        <v>4.43</v>
      </c>
      <c r="U77" s="11">
        <f t="shared" ca="1" si="22"/>
        <v>19.624899999999997</v>
      </c>
      <c r="V77" s="11">
        <f t="shared" ca="1" si="28"/>
        <v>13.29</v>
      </c>
    </row>
    <row r="78" spans="1:22" x14ac:dyDescent="0.3">
      <c r="A78" s="11">
        <f ca="1">'FALL 5'!A78</f>
        <v>7.7325278885367439</v>
      </c>
      <c r="B78" s="11">
        <f ca="1">'FALL 5'!B78</f>
        <v>5.7089520016855859</v>
      </c>
      <c r="C78" s="11">
        <f>'FALL 3'!C78</f>
        <v>5</v>
      </c>
      <c r="D78" s="11">
        <f ca="1">IF(C78=0,"",(B78*0.01*(B35)+K78))</f>
        <v>6.6518624816687293</v>
      </c>
      <c r="E78" s="11"/>
      <c r="F78" s="11">
        <f ca="1">IF(D78="","",(D78*((D22-F36)/(99-0))+F36))</f>
        <v>3.8259312408343646</v>
      </c>
      <c r="G78" s="11">
        <f t="shared" ca="1" si="19"/>
        <v>6.6518624816687293</v>
      </c>
      <c r="H78" s="50" t="str">
        <f ca="1">IF(I176=C78,I78,"")</f>
        <v/>
      </c>
      <c r="I78" s="11">
        <f t="shared" ca="1" si="20"/>
        <v>3.8</v>
      </c>
      <c r="J78" s="13" t="s">
        <v>78</v>
      </c>
      <c r="K78" s="51">
        <f>((99-0)/(F39-F36))*(B23-F36)</f>
        <v>1</v>
      </c>
      <c r="L78" s="11">
        <f ca="1">IF(D78="","",(L77+2*L185))</f>
        <v>3.2050000000000001</v>
      </c>
      <c r="M78" s="11">
        <f t="shared" ca="1" si="21"/>
        <v>3.8</v>
      </c>
      <c r="N78" s="11">
        <f t="shared" ca="1" si="23"/>
        <v>14.44</v>
      </c>
      <c r="O78" s="11">
        <f ca="1">IF(D78="","",(L78*H39)+H38)</f>
        <v>5.41</v>
      </c>
      <c r="P78" s="9">
        <f t="shared" ca="1" si="24"/>
        <v>29.2681</v>
      </c>
      <c r="Q78" s="9">
        <f t="shared" ca="1" si="25"/>
        <v>20.558</v>
      </c>
      <c r="R78" s="11">
        <f t="shared" ca="1" si="26"/>
        <v>4</v>
      </c>
      <c r="S78" s="11">
        <f t="shared" ca="1" si="27"/>
        <v>16</v>
      </c>
      <c r="T78" s="11">
        <f t="shared" ca="1" si="22"/>
        <v>5.41</v>
      </c>
      <c r="U78" s="11">
        <f t="shared" ca="1" si="22"/>
        <v>29.2681</v>
      </c>
      <c r="V78" s="11">
        <f t="shared" ca="1" si="28"/>
        <v>21.64</v>
      </c>
    </row>
    <row r="79" spans="1:22" x14ac:dyDescent="0.3">
      <c r="A79" s="11">
        <f ca="1">'FALL 5'!A79</f>
        <v>66.060567090885314</v>
      </c>
      <c r="B79" s="11">
        <f ca="1">'FALL 5'!B79</f>
        <v>6.0767745995305233</v>
      </c>
      <c r="C79" s="11">
        <f>'FALL 3'!C79</f>
        <v>6</v>
      </c>
      <c r="D79" s="11">
        <f ca="1">IF(C79=0,"",(B79*0.01*(B35)+K78))</f>
        <v>7.0160068535352167</v>
      </c>
      <c r="E79" s="11"/>
      <c r="F79" s="11">
        <f ca="1">IF(D79="","",(D79*((D22-F36)/(99-0))+F36))</f>
        <v>4.0080034267676083</v>
      </c>
      <c r="G79" s="11">
        <f t="shared" ca="1" si="19"/>
        <v>7.0160068535352167</v>
      </c>
      <c r="H79" s="50" t="str">
        <f ca="1">IF(I176=C79,I79,"")</f>
        <v/>
      </c>
      <c r="I79" s="11">
        <f t="shared" ca="1" si="20"/>
        <v>4</v>
      </c>
      <c r="J79" s="11"/>
      <c r="L79" s="11">
        <f ca="1">IF(D79="","",(L78+2*L185))</f>
        <v>3.6950000000000003</v>
      </c>
      <c r="M79" s="11">
        <f t="shared" ca="1" si="21"/>
        <v>4</v>
      </c>
      <c r="N79" s="11">
        <f t="shared" ca="1" si="23"/>
        <v>16</v>
      </c>
      <c r="O79" s="11">
        <f ca="1">IF(D79="","",(L79*H39)+H38)</f>
        <v>6.3900000000000006</v>
      </c>
      <c r="P79" s="9">
        <f t="shared" ca="1" si="24"/>
        <v>40.832100000000004</v>
      </c>
      <c r="Q79" s="9">
        <f t="shared" ca="1" si="25"/>
        <v>25.560000000000002</v>
      </c>
      <c r="R79" s="11">
        <f t="shared" ca="1" si="26"/>
        <v>4</v>
      </c>
      <c r="S79" s="11">
        <f t="shared" ca="1" si="27"/>
        <v>16</v>
      </c>
      <c r="T79" s="11">
        <f t="shared" ca="1" si="22"/>
        <v>6.3900000000000006</v>
      </c>
      <c r="U79" s="11">
        <f t="shared" ca="1" si="22"/>
        <v>40.832100000000004</v>
      </c>
      <c r="V79" s="11">
        <f t="shared" ca="1" si="28"/>
        <v>25.560000000000002</v>
      </c>
    </row>
    <row r="80" spans="1:22" x14ac:dyDescent="0.3">
      <c r="A80" s="11">
        <f ca="1">'FALL 5'!A80</f>
        <v>22.402120716537858</v>
      </c>
      <c r="B80" s="11">
        <f ca="1">'FALL 5'!B80</f>
        <v>7.1222617714573033</v>
      </c>
      <c r="C80" s="11">
        <f>'FALL 3'!C80</f>
        <v>7</v>
      </c>
      <c r="D80" s="11">
        <f ca="1">IF(C80=0,"",(B80*0.01*(B35)+K78))</f>
        <v>8.0510391537427299</v>
      </c>
      <c r="E80" s="11"/>
      <c r="F80" s="11">
        <f ca="1">IF(D80="","",(D80*((D22-F36)/(99-0))+F36))</f>
        <v>4.525519576871365</v>
      </c>
      <c r="G80" s="11">
        <f t="shared" ca="1" si="19"/>
        <v>8.0510391537427299</v>
      </c>
      <c r="H80" s="50" t="str">
        <f ca="1">IF(I176=C80,I80,"")</f>
        <v/>
      </c>
      <c r="I80" s="11">
        <f t="shared" ca="1" si="20"/>
        <v>4.5</v>
      </c>
      <c r="J80" s="11"/>
      <c r="L80" s="11">
        <f ca="1">IF(D80="","",(L79+2*L185))</f>
        <v>4.1850000000000005</v>
      </c>
      <c r="M80" s="11">
        <f t="shared" ca="1" si="21"/>
        <v>4.5</v>
      </c>
      <c r="N80" s="11">
        <f t="shared" ca="1" si="23"/>
        <v>20.25</v>
      </c>
      <c r="O80" s="11">
        <f ca="1">IF(D80="","",(L80*H39)+H38)</f>
        <v>7.370000000000001</v>
      </c>
      <c r="P80" s="9">
        <f t="shared" ca="1" si="24"/>
        <v>54.316900000000018</v>
      </c>
      <c r="Q80" s="9">
        <f t="shared" ca="1" si="25"/>
        <v>33.165000000000006</v>
      </c>
      <c r="R80" s="11">
        <f t="shared" ca="1" si="26"/>
        <v>5</v>
      </c>
      <c r="S80" s="11">
        <f t="shared" ca="1" si="27"/>
        <v>25</v>
      </c>
      <c r="T80" s="11">
        <f t="shared" ca="1" si="22"/>
        <v>7.370000000000001</v>
      </c>
      <c r="U80" s="11">
        <f t="shared" ca="1" si="22"/>
        <v>54.316900000000018</v>
      </c>
      <c r="V80" s="11">
        <f t="shared" ca="1" si="28"/>
        <v>36.850000000000009</v>
      </c>
    </row>
    <row r="81" spans="1:22" x14ac:dyDescent="0.3">
      <c r="A81" s="11">
        <f ca="1">'FALL 5'!A81</f>
        <v>42.764662812604882</v>
      </c>
      <c r="B81" s="11">
        <f ca="1">'FALL 5'!B81</f>
        <v>7.236393778707586</v>
      </c>
      <c r="C81" s="11">
        <f>'FALL 3'!C81</f>
        <v>8</v>
      </c>
      <c r="D81" s="11">
        <f ca="1">IF(C81=0,"",(B81*0.01*(B35)+K78))</f>
        <v>8.1640298409205094</v>
      </c>
      <c r="E81" s="11"/>
      <c r="F81" s="11">
        <f ca="1">IF(D81="","",(D81*((D22-F36)/(99-0))+F36))</f>
        <v>4.5820149204602547</v>
      </c>
      <c r="G81" s="11">
        <f t="shared" ca="1" si="19"/>
        <v>8.1640298409205094</v>
      </c>
      <c r="H81" s="50" t="str">
        <f ca="1">IF(I176=C81,I81,"")</f>
        <v/>
      </c>
      <c r="I81" s="11">
        <f t="shared" ca="1" si="20"/>
        <v>4.5999999999999996</v>
      </c>
      <c r="J81" s="11"/>
      <c r="L81" s="11">
        <f ca="1">IF(D81="","",(L80+2*L185))</f>
        <v>4.6750000000000007</v>
      </c>
      <c r="M81" s="11">
        <f t="shared" ca="1" si="21"/>
        <v>4.5999999999999996</v>
      </c>
      <c r="N81" s="11">
        <f t="shared" ca="1" si="23"/>
        <v>21.159999999999997</v>
      </c>
      <c r="O81" s="11">
        <f ca="1">IF(D81="","",(L81*H39)+H38)</f>
        <v>8.3500000000000014</v>
      </c>
      <c r="P81" s="9">
        <f t="shared" ca="1" si="24"/>
        <v>69.722500000000025</v>
      </c>
      <c r="Q81" s="9">
        <f t="shared" ca="1" si="25"/>
        <v>38.410000000000004</v>
      </c>
      <c r="R81" s="11">
        <f t="shared" ca="1" si="26"/>
        <v>5</v>
      </c>
      <c r="S81" s="11">
        <f t="shared" ca="1" si="27"/>
        <v>25</v>
      </c>
      <c r="T81" s="11">
        <f t="shared" ca="1" si="22"/>
        <v>8.3500000000000014</v>
      </c>
      <c r="U81" s="11">
        <f t="shared" ca="1" si="22"/>
        <v>69.722500000000025</v>
      </c>
      <c r="V81" s="11">
        <f t="shared" ca="1" si="28"/>
        <v>41.750000000000007</v>
      </c>
    </row>
    <row r="82" spans="1:22" x14ac:dyDescent="0.3">
      <c r="A82" s="11">
        <f ca="1">'FALL 5'!A82</f>
        <v>33.68582618215472</v>
      </c>
      <c r="B82" s="11">
        <f ca="1">'FALL 5'!B82</f>
        <v>7.7325278885367439</v>
      </c>
      <c r="C82" s="11">
        <f>'FALL 3'!C82</f>
        <v>9</v>
      </c>
      <c r="D82" s="11">
        <f ca="1">IF(C82=0,"",(B82*0.01*(B35)+K78))</f>
        <v>8.6552026096513757</v>
      </c>
      <c r="E82" s="11"/>
      <c r="F82" s="11">
        <f ca="1">IF(D82="","",(D82*((D22-F36)/(99-0))+F36))</f>
        <v>4.8276013048256878</v>
      </c>
      <c r="G82" s="11">
        <f t="shared" ca="1" si="19"/>
        <v>8.6552026096513757</v>
      </c>
      <c r="H82" s="50" t="str">
        <f ca="1">IF(I176=C82,I82,"")</f>
        <v/>
      </c>
      <c r="I82" s="11">
        <f t="shared" ca="1" si="20"/>
        <v>4.8</v>
      </c>
      <c r="J82" s="11"/>
      <c r="L82" s="11">
        <f ca="1">IF(D82="","",(L81+2*L185))</f>
        <v>5.1650000000000009</v>
      </c>
      <c r="M82" s="11">
        <f t="shared" ca="1" si="21"/>
        <v>4.8</v>
      </c>
      <c r="N82" s="11">
        <f t="shared" ca="1" si="23"/>
        <v>23.04</v>
      </c>
      <c r="O82" s="11">
        <f ca="1">IF(D82="","",(L82*H39)+H38)</f>
        <v>9.3300000000000018</v>
      </c>
      <c r="P82" s="9">
        <f t="shared" ca="1" si="24"/>
        <v>87.048900000000032</v>
      </c>
      <c r="Q82" s="9">
        <f t="shared" ca="1" si="25"/>
        <v>44.784000000000006</v>
      </c>
      <c r="R82" s="11">
        <f t="shared" ca="1" si="26"/>
        <v>5</v>
      </c>
      <c r="S82" s="11">
        <f t="shared" ca="1" si="27"/>
        <v>25</v>
      </c>
      <c r="T82" s="11">
        <f t="shared" ca="1" si="22"/>
        <v>9.3300000000000018</v>
      </c>
      <c r="U82" s="11">
        <f t="shared" ca="1" si="22"/>
        <v>87.048900000000032</v>
      </c>
      <c r="V82" s="11">
        <f t="shared" ca="1" si="28"/>
        <v>46.650000000000006</v>
      </c>
    </row>
    <row r="83" spans="1:22" x14ac:dyDescent="0.3">
      <c r="A83" s="11">
        <f ca="1">'FALL 5'!A83</f>
        <v>61.62027419648895</v>
      </c>
      <c r="B83" s="11">
        <f ca="1">'FALL 5'!B83</f>
        <v>8.6086870533608284</v>
      </c>
      <c r="C83" s="11">
        <f>'FALL 3'!C83</f>
        <v>10</v>
      </c>
      <c r="D83" s="11">
        <f ca="1">IF(C83=0,"",(B83*0.01*(B35)+K78))</f>
        <v>9.5226001828272189</v>
      </c>
      <c r="E83" s="11"/>
      <c r="F83" s="11">
        <f ca="1">IF(D83="","",(D83*((D22-F36)/(99-0))+F36))</f>
        <v>5.2613000914136094</v>
      </c>
      <c r="G83" s="11">
        <f t="shared" ca="1" si="19"/>
        <v>9.5226001828272189</v>
      </c>
      <c r="H83" s="50" t="str">
        <f ca="1">IF(I176=C83,I83,"")</f>
        <v/>
      </c>
      <c r="I83" s="11">
        <f t="shared" ca="1" si="20"/>
        <v>5.3</v>
      </c>
      <c r="J83" s="11"/>
      <c r="L83" s="11">
        <f ca="1">IF(D83="","",(L82+2*L185))</f>
        <v>5.6550000000000011</v>
      </c>
      <c r="M83" s="11">
        <f t="shared" ca="1" si="21"/>
        <v>5.3</v>
      </c>
      <c r="N83" s="11">
        <f t="shared" ca="1" si="23"/>
        <v>28.09</v>
      </c>
      <c r="O83" s="11">
        <f ca="1">IF(D83="","",(L83*H39)+H38)</f>
        <v>10.310000000000002</v>
      </c>
      <c r="P83" s="9">
        <f t="shared" ca="1" si="24"/>
        <v>106.29610000000005</v>
      </c>
      <c r="Q83" s="9">
        <f t="shared" ca="1" si="25"/>
        <v>54.643000000000008</v>
      </c>
      <c r="R83" s="11">
        <f t="shared" ca="1" si="26"/>
        <v>5</v>
      </c>
      <c r="S83" s="11">
        <f t="shared" ca="1" si="27"/>
        <v>25</v>
      </c>
      <c r="T83" s="11">
        <f t="shared" ca="1" si="22"/>
        <v>10.310000000000002</v>
      </c>
      <c r="U83" s="11">
        <f t="shared" ca="1" si="22"/>
        <v>106.29610000000005</v>
      </c>
      <c r="V83" s="11">
        <f t="shared" ca="1" si="28"/>
        <v>51.550000000000011</v>
      </c>
    </row>
    <row r="84" spans="1:22" x14ac:dyDescent="0.3">
      <c r="A84" s="11">
        <f ca="1">'FALL 5'!A84</f>
        <v>7.1222617714573033</v>
      </c>
      <c r="B84" s="11">
        <f ca="1">'FALL 5'!B84</f>
        <v>9.2836085325027931</v>
      </c>
      <c r="C84" s="11">
        <f>'FALL 3'!C84</f>
        <v>11</v>
      </c>
      <c r="D84" s="11">
        <f ca="1">IF(C84=0,"",(B84*0.01*(B35)+K78))</f>
        <v>10.190772447177764</v>
      </c>
      <c r="E84" s="11"/>
      <c r="F84" s="11">
        <f ca="1">IF(D84="","",(D84*((D22-F36)/(99-0))+F36))</f>
        <v>5.595386223588882</v>
      </c>
      <c r="G84" s="11">
        <f t="shared" ca="1" si="19"/>
        <v>10.190772447177764</v>
      </c>
      <c r="H84" s="50" t="str">
        <f ca="1">IF(I176=C84,I84,"")</f>
        <v/>
      </c>
      <c r="I84" s="11">
        <f t="shared" ca="1" si="20"/>
        <v>5.6</v>
      </c>
      <c r="J84" s="11"/>
      <c r="L84" s="11">
        <f ca="1">IF(D84="","",(L83+2*L185))</f>
        <v>6.1450000000000014</v>
      </c>
      <c r="M84" s="11">
        <f t="shared" ca="1" si="21"/>
        <v>5.6</v>
      </c>
      <c r="N84" s="11">
        <f t="shared" ca="1" si="23"/>
        <v>31.359999999999996</v>
      </c>
      <c r="O84" s="11">
        <f ca="1">IF(D84="","",(L84*H39)+H38)</f>
        <v>11.290000000000003</v>
      </c>
      <c r="P84" s="9">
        <f t="shared" ca="1" si="24"/>
        <v>127.46410000000006</v>
      </c>
      <c r="Q84" s="9">
        <f t="shared" ca="1" si="25"/>
        <v>63.224000000000011</v>
      </c>
      <c r="R84" s="11">
        <f t="shared" ca="1" si="26"/>
        <v>6</v>
      </c>
      <c r="S84" s="11">
        <f t="shared" ca="1" si="27"/>
        <v>36</v>
      </c>
      <c r="T84" s="11">
        <f t="shared" ca="1" si="22"/>
        <v>11.290000000000003</v>
      </c>
      <c r="U84" s="11">
        <f t="shared" ca="1" si="22"/>
        <v>127.46410000000006</v>
      </c>
      <c r="V84" s="11">
        <f t="shared" ca="1" si="28"/>
        <v>67.740000000000009</v>
      </c>
    </row>
    <row r="85" spans="1:22" x14ac:dyDescent="0.3">
      <c r="A85" s="11">
        <f ca="1">'FALL 5'!A85</f>
        <v>21.722597038799464</v>
      </c>
      <c r="B85" s="11">
        <f ca="1">'FALL 5'!B85</f>
        <v>10.53043649250084</v>
      </c>
      <c r="C85" s="11">
        <f>'FALL 3'!C85</f>
        <v>12</v>
      </c>
      <c r="D85" s="11">
        <f ca="1">IF(C85=0,"",(B85*0.01*(B35)+K78))</f>
        <v>11.42513212757583</v>
      </c>
      <c r="E85" s="11"/>
      <c r="F85" s="11">
        <f ca="1">IF(D85="","",(D85*((D22-F36)/(99-0))+F36))</f>
        <v>6.2125660637879152</v>
      </c>
      <c r="G85" s="11">
        <f t="shared" ca="1" si="19"/>
        <v>11.42513212757583</v>
      </c>
      <c r="H85" s="50" t="str">
        <f ca="1">IF(I176=C85,I85,"")</f>
        <v/>
      </c>
      <c r="I85" s="11">
        <f t="shared" ca="1" si="20"/>
        <v>6.2</v>
      </c>
      <c r="J85" s="11"/>
      <c r="L85" s="11">
        <f ca="1">IF(D85="","",(L84+2*L185))</f>
        <v>6.6350000000000016</v>
      </c>
      <c r="M85" s="11">
        <f t="shared" ca="1" si="21"/>
        <v>6.2</v>
      </c>
      <c r="N85" s="11">
        <f t="shared" ca="1" si="23"/>
        <v>38.440000000000005</v>
      </c>
      <c r="O85" s="11">
        <f ca="1">IF(D85="","",(L85*H39)+H38)</f>
        <v>12.270000000000003</v>
      </c>
      <c r="P85" s="9">
        <f t="shared" ca="1" si="24"/>
        <v>150.55290000000008</v>
      </c>
      <c r="Q85" s="9">
        <f t="shared" ca="1" si="25"/>
        <v>76.074000000000026</v>
      </c>
      <c r="R85" s="11">
        <f t="shared" ca="1" si="26"/>
        <v>6</v>
      </c>
      <c r="S85" s="11">
        <f t="shared" ca="1" si="27"/>
        <v>36</v>
      </c>
      <c r="T85" s="11">
        <f t="shared" ca="1" si="22"/>
        <v>12.270000000000003</v>
      </c>
      <c r="U85" s="11">
        <f t="shared" ca="1" si="22"/>
        <v>150.55290000000008</v>
      </c>
      <c r="V85" s="11">
        <f t="shared" ca="1" si="28"/>
        <v>73.620000000000019</v>
      </c>
    </row>
    <row r="86" spans="1:22" x14ac:dyDescent="0.3">
      <c r="A86" s="11">
        <f ca="1">'FALL 5'!A86</f>
        <v>66.829826929516031</v>
      </c>
      <c r="B86" s="11">
        <f ca="1">'FALL 5'!B86</f>
        <v>10.885530224479504</v>
      </c>
      <c r="C86" s="11">
        <f>'FALL 3'!C86</f>
        <v>13</v>
      </c>
      <c r="D86" s="11">
        <f ca="1">IF(C86=0,"",(B86*0.01*(B35)+K78))</f>
        <v>11.776674922234708</v>
      </c>
      <c r="E86" s="11"/>
      <c r="F86" s="11">
        <f ca="1">IF(D86="","",(D86*((D22-F36)/(99-0))+F36))</f>
        <v>6.388337461117354</v>
      </c>
      <c r="G86" s="11">
        <f t="shared" ca="1" si="19"/>
        <v>11.776674922234708</v>
      </c>
      <c r="H86" s="50" t="str">
        <f>IF(I1876=C86,I86,"")</f>
        <v/>
      </c>
      <c r="I86" s="11">
        <f t="shared" ca="1" si="20"/>
        <v>6.4</v>
      </c>
      <c r="J86" s="11"/>
      <c r="L86" s="11">
        <f ca="1">IF(D86="","",(L85+2*L185))</f>
        <v>7.1250000000000018</v>
      </c>
      <c r="M86" s="11">
        <f t="shared" ca="1" si="21"/>
        <v>6.4</v>
      </c>
      <c r="N86" s="11">
        <f t="shared" ca="1" si="23"/>
        <v>40.960000000000008</v>
      </c>
      <c r="O86" s="11">
        <f ca="1">IF(D86="","",(L86*H39)+H38)</f>
        <v>13.250000000000004</v>
      </c>
      <c r="P86" s="9">
        <f t="shared" ca="1" si="24"/>
        <v>175.56250000000009</v>
      </c>
      <c r="Q86" s="9">
        <f t="shared" ca="1" si="25"/>
        <v>84.800000000000026</v>
      </c>
      <c r="R86" s="11">
        <f t="shared" ca="1" si="26"/>
        <v>6</v>
      </c>
      <c r="S86" s="11">
        <f t="shared" ca="1" si="27"/>
        <v>36</v>
      </c>
      <c r="T86" s="11">
        <f t="shared" ca="1" si="22"/>
        <v>13.250000000000004</v>
      </c>
      <c r="U86" s="11">
        <f t="shared" ca="1" si="22"/>
        <v>175.56250000000009</v>
      </c>
      <c r="V86" s="11">
        <f t="shared" ca="1" si="28"/>
        <v>79.500000000000028</v>
      </c>
    </row>
    <row r="87" spans="1:22" x14ac:dyDescent="0.3">
      <c r="A87" s="11">
        <f ca="1">'FALL 5'!A87</f>
        <v>38.485894582626536</v>
      </c>
      <c r="B87" s="11">
        <f ca="1">'FALL 5'!B87</f>
        <v>10.913854291659938</v>
      </c>
      <c r="C87" s="11">
        <f>'FALL 3'!C87</f>
        <v>14</v>
      </c>
      <c r="D87" s="11">
        <f ca="1">IF(C87=0,"",(B87*0.01*(B35)+K78))</f>
        <v>11.804715748743337</v>
      </c>
      <c r="E87" s="11"/>
      <c r="F87" s="11">
        <f ca="1">IF(D87="","",(D87*((D22-F36)/(99-0))+F36))</f>
        <v>6.4023578743716687</v>
      </c>
      <c r="G87" s="11">
        <f t="shared" ca="1" si="19"/>
        <v>11.804715748743337</v>
      </c>
      <c r="H87" s="50" t="str">
        <f ca="1">IF(I176=C87,I87,"")</f>
        <v/>
      </c>
      <c r="I87" s="11">
        <f t="shared" ca="1" si="20"/>
        <v>6.4</v>
      </c>
      <c r="J87" s="11"/>
      <c r="L87" s="11">
        <f ca="1">IF(D87="","",(L86+2*L185))</f>
        <v>7.615000000000002</v>
      </c>
      <c r="M87" s="11">
        <f t="shared" ca="1" si="21"/>
        <v>6.4</v>
      </c>
      <c r="N87" s="11">
        <f t="shared" ca="1" si="23"/>
        <v>40.960000000000008</v>
      </c>
      <c r="O87" s="11">
        <f ca="1">IF(D87="","",(L87*H39)+H38)</f>
        <v>14.230000000000004</v>
      </c>
      <c r="P87" s="9">
        <f t="shared" ca="1" si="24"/>
        <v>202.49290000000011</v>
      </c>
      <c r="Q87" s="9">
        <f t="shared" ca="1" si="25"/>
        <v>91.072000000000031</v>
      </c>
      <c r="R87" s="11">
        <f t="shared" ca="1" si="26"/>
        <v>6</v>
      </c>
      <c r="S87" s="11">
        <f t="shared" ca="1" si="27"/>
        <v>36</v>
      </c>
      <c r="T87" s="11">
        <f t="shared" ca="1" si="22"/>
        <v>14.230000000000004</v>
      </c>
      <c r="U87" s="11">
        <f t="shared" ca="1" si="22"/>
        <v>202.49290000000011</v>
      </c>
      <c r="V87" s="11">
        <f t="shared" ca="1" si="28"/>
        <v>85.380000000000024</v>
      </c>
    </row>
    <row r="88" spans="1:22" x14ac:dyDescent="0.3">
      <c r="A88" s="11">
        <f ca="1">'FALL 5'!A88</f>
        <v>7.236393778707586</v>
      </c>
      <c r="B88" s="11">
        <f ca="1">'FALL 5'!B88</f>
        <v>14.49379961208353</v>
      </c>
      <c r="C88" s="11">
        <f>'FALL 3'!C88</f>
        <v>15</v>
      </c>
      <c r="D88" s="11">
        <f ca="1">IF(C88=0,"",(B88*0.01*(B35)+K78))</f>
        <v>15.348861615962692</v>
      </c>
      <c r="E88" s="11"/>
      <c r="F88" s="11">
        <f ca="1">IF(D88="","",(D88*((D22-F36)/(99-0))+F36))</f>
        <v>8.174430807981345</v>
      </c>
      <c r="G88" s="11">
        <f t="shared" ca="1" si="19"/>
        <v>15.348861615962692</v>
      </c>
      <c r="H88" s="50" t="str">
        <f ca="1">IF(I176=C88,I88,"")</f>
        <v/>
      </c>
      <c r="I88" s="11">
        <f t="shared" ca="1" si="20"/>
        <v>8.1999999999999993</v>
      </c>
      <c r="J88" s="11"/>
      <c r="L88" s="11">
        <f ca="1">IF(D88="","",(L87+2*L185))</f>
        <v>8.1050000000000022</v>
      </c>
      <c r="M88" s="11">
        <f t="shared" ca="1" si="21"/>
        <v>8.1999999999999993</v>
      </c>
      <c r="N88" s="11">
        <f t="shared" ca="1" si="23"/>
        <v>67.239999999999995</v>
      </c>
      <c r="O88" s="11">
        <f ca="1">IF(D88="","",(L88*H39)+H38)</f>
        <v>15.210000000000004</v>
      </c>
      <c r="P88" s="9">
        <f t="shared" ca="1" si="24"/>
        <v>231.34410000000014</v>
      </c>
      <c r="Q88" s="9">
        <f t="shared" ca="1" si="25"/>
        <v>124.72200000000002</v>
      </c>
      <c r="R88" s="11">
        <f t="shared" ca="1" si="26"/>
        <v>8</v>
      </c>
      <c r="S88" s="11">
        <f t="shared" ca="1" si="27"/>
        <v>64</v>
      </c>
      <c r="T88" s="11">
        <f t="shared" ca="1" si="22"/>
        <v>15.210000000000004</v>
      </c>
      <c r="U88" s="11">
        <f t="shared" ca="1" si="22"/>
        <v>231.34410000000014</v>
      </c>
      <c r="V88" s="11">
        <f t="shared" ca="1" si="28"/>
        <v>121.68000000000004</v>
      </c>
    </row>
    <row r="89" spans="1:22" x14ac:dyDescent="0.3">
      <c r="A89" s="11">
        <f ca="1">'FALL 5'!A89</f>
        <v>46.064691747729199</v>
      </c>
      <c r="B89" s="11">
        <f ca="1">'FALL 5'!B89</f>
        <v>14.787882301540993</v>
      </c>
      <c r="C89" s="11">
        <f>'FALL 3'!C89</f>
        <v>16</v>
      </c>
      <c r="D89" s="11">
        <f ca="1">IF(C89=0,"",(B89*0.01*(B35)+K78))</f>
        <v>15.640003478525582</v>
      </c>
      <c r="E89" s="11"/>
      <c r="F89" s="11">
        <f ca="1">IF(D89="","",(D89*((D22-F36)/(99-0))+F36))</f>
        <v>8.320001739262791</v>
      </c>
      <c r="G89" s="11">
        <f t="shared" ca="1" si="19"/>
        <v>15.640003478525582</v>
      </c>
      <c r="H89" s="50" t="str">
        <f ca="1">IF(I176=C89,I89,"")</f>
        <v/>
      </c>
      <c r="I89" s="11">
        <f t="shared" ca="1" si="20"/>
        <v>8.3000000000000007</v>
      </c>
      <c r="J89" s="11"/>
      <c r="L89" s="11">
        <f ca="1">IF(D89="","",(L88+2*L185))</f>
        <v>8.5950000000000024</v>
      </c>
      <c r="M89" s="11">
        <f t="shared" ca="1" si="21"/>
        <v>8.3000000000000007</v>
      </c>
      <c r="N89" s="11">
        <f t="shared" ca="1" si="23"/>
        <v>68.890000000000015</v>
      </c>
      <c r="O89" s="11">
        <f ca="1">IF(D89="","",(L89*H39)+H38)</f>
        <v>16.190000000000005</v>
      </c>
      <c r="P89" s="9">
        <f t="shared" ca="1" si="24"/>
        <v>262.11610000000013</v>
      </c>
      <c r="Q89" s="9">
        <f t="shared" ca="1" si="25"/>
        <v>134.37700000000004</v>
      </c>
      <c r="R89" s="11">
        <f t="shared" ca="1" si="26"/>
        <v>8</v>
      </c>
      <c r="S89" s="11">
        <f t="shared" ca="1" si="27"/>
        <v>64</v>
      </c>
      <c r="T89" s="11">
        <f t="shared" ca="1" si="22"/>
        <v>16.190000000000005</v>
      </c>
      <c r="U89" s="11">
        <f t="shared" ca="1" si="22"/>
        <v>262.11610000000013</v>
      </c>
      <c r="V89" s="11">
        <f t="shared" ca="1" si="28"/>
        <v>129.52000000000004</v>
      </c>
    </row>
    <row r="90" spans="1:22" x14ac:dyDescent="0.3">
      <c r="A90" s="11">
        <f ca="1">'FALL 5'!A90</f>
        <v>21.832727086753366</v>
      </c>
      <c r="B90" s="11">
        <f ca="1">'FALL 5'!B90</f>
        <v>15.018448098362695</v>
      </c>
      <c r="C90" s="11">
        <f>'FALL 3'!C90</f>
        <v>17</v>
      </c>
      <c r="D90" s="11">
        <f ca="1">IF(C90=0,"",(B90*0.01*(B35)+K78))</f>
        <v>15.868263617379068</v>
      </c>
      <c r="E90" s="11"/>
      <c r="F90" s="11">
        <f ca="1">IF(D90="","",(D90*((D22-F36)/(99-0))+F36))</f>
        <v>8.4341318086895338</v>
      </c>
      <c r="G90" s="11">
        <f t="shared" ca="1" si="19"/>
        <v>15.868263617379068</v>
      </c>
      <c r="H90" s="50" t="str">
        <f ca="1">IF(I176=C90,I90,"")</f>
        <v/>
      </c>
      <c r="I90" s="11">
        <f t="shared" ca="1" si="20"/>
        <v>8.4</v>
      </c>
      <c r="J90" s="11"/>
      <c r="L90" s="11">
        <f ca="1">IF(D90="","",(L89+2*L185))</f>
        <v>9.0850000000000026</v>
      </c>
      <c r="M90" s="11">
        <f t="shared" ca="1" si="21"/>
        <v>8.4</v>
      </c>
      <c r="N90" s="11">
        <f t="shared" ca="1" si="23"/>
        <v>70.56</v>
      </c>
      <c r="O90" s="11">
        <f ca="1">IF(D90="","",(L90*H39)+H38)</f>
        <v>17.170000000000005</v>
      </c>
      <c r="P90" s="9">
        <f t="shared" ca="1" si="24"/>
        <v>294.80890000000016</v>
      </c>
      <c r="Q90" s="9">
        <f t="shared" ca="1" si="25"/>
        <v>144.22800000000004</v>
      </c>
      <c r="R90" s="11">
        <f t="shared" ca="1" si="26"/>
        <v>8</v>
      </c>
      <c r="S90" s="11">
        <f t="shared" ca="1" si="27"/>
        <v>64</v>
      </c>
      <c r="T90" s="11">
        <f t="shared" ref="T90:U153" ca="1" si="29">O90</f>
        <v>17.170000000000005</v>
      </c>
      <c r="U90" s="11">
        <f t="shared" ca="1" si="29"/>
        <v>294.80890000000016</v>
      </c>
      <c r="V90" s="11">
        <f t="shared" ca="1" si="28"/>
        <v>137.36000000000004</v>
      </c>
    </row>
    <row r="91" spans="1:22" x14ac:dyDescent="0.3">
      <c r="A91" s="11">
        <f ca="1">'FALL 5'!A91</f>
        <v>40.248097189293503</v>
      </c>
      <c r="B91" s="11">
        <f ca="1">'FALL 5'!B91</f>
        <v>18.068569221852552</v>
      </c>
      <c r="C91" s="11">
        <f>'FALL 3'!C91</f>
        <v>18</v>
      </c>
      <c r="D91" s="11">
        <f ca="1">IF(C91=0,"",(B91*0.01*(B35)+K78))</f>
        <v>18.887883529634024</v>
      </c>
      <c r="E91" s="11"/>
      <c r="F91" s="11">
        <f ca="1">IF(D91="","",(D91*((D22-F36)/(99-0))+F36))</f>
        <v>9.9439417648170121</v>
      </c>
      <c r="G91" s="11">
        <f t="shared" ca="1" si="19"/>
        <v>18.887883529634024</v>
      </c>
      <c r="H91" s="50" t="str">
        <f>IF(I1976=C91,I91,"")</f>
        <v/>
      </c>
      <c r="I91" s="11">
        <f t="shared" ca="1" si="20"/>
        <v>9.9</v>
      </c>
      <c r="J91" s="11"/>
      <c r="L91" s="11">
        <f ca="1">IF(D91="","",(L90+2*L185))</f>
        <v>9.5750000000000028</v>
      </c>
      <c r="M91" s="11">
        <f t="shared" ca="1" si="21"/>
        <v>9.9</v>
      </c>
      <c r="N91" s="11">
        <f t="shared" ca="1" si="23"/>
        <v>98.01</v>
      </c>
      <c r="O91" s="11">
        <f ca="1">IF(D91="","",(L91*H39)+H38)</f>
        <v>18.150000000000006</v>
      </c>
      <c r="P91" s="9">
        <f t="shared" ca="1" si="24"/>
        <v>329.42250000000018</v>
      </c>
      <c r="Q91" s="9">
        <f t="shared" ca="1" si="25"/>
        <v>179.68500000000006</v>
      </c>
      <c r="R91" s="11">
        <f t="shared" ca="1" si="26"/>
        <v>10</v>
      </c>
      <c r="S91" s="11">
        <f t="shared" ca="1" si="27"/>
        <v>100</v>
      </c>
      <c r="T91" s="11">
        <f t="shared" ca="1" si="29"/>
        <v>18.150000000000006</v>
      </c>
      <c r="U91" s="11">
        <f t="shared" ca="1" si="29"/>
        <v>329.42250000000018</v>
      </c>
      <c r="V91" s="11">
        <f t="shared" ca="1" si="28"/>
        <v>181.50000000000006</v>
      </c>
    </row>
    <row r="92" spans="1:22" x14ac:dyDescent="0.3">
      <c r="A92" s="11">
        <f ca="1">'FALL 5'!A92</f>
        <v>22.798403487660405</v>
      </c>
      <c r="B92" s="11">
        <f ca="1">'FALL 5'!B92</f>
        <v>18.096694046407926</v>
      </c>
      <c r="C92" s="11">
        <f>'FALL 3'!C92</f>
        <v>19</v>
      </c>
      <c r="D92" s="11">
        <f ca="1">IF(C92=0,"",(B92*0.01*(B35)+K78))</f>
        <v>18.915727105943844</v>
      </c>
      <c r="E92" s="11"/>
      <c r="F92" s="11">
        <f ca="1">IF(D92="","",(D92*((D22-F36)/(99-0))+F36))</f>
        <v>9.9578635529719222</v>
      </c>
      <c r="G92" s="11">
        <f t="shared" ca="1" si="19"/>
        <v>18.915727105943844</v>
      </c>
      <c r="H92" s="50" t="str">
        <f ca="1">IF(I176=C92,I92,"")</f>
        <v/>
      </c>
      <c r="I92" s="11">
        <f t="shared" ca="1" si="20"/>
        <v>10</v>
      </c>
      <c r="J92" s="11"/>
      <c r="L92" s="11">
        <f ca="1">IF(D92="","",(L91+2*L185))</f>
        <v>10.065000000000003</v>
      </c>
      <c r="M92" s="11">
        <f t="shared" ca="1" si="21"/>
        <v>10</v>
      </c>
      <c r="N92" s="11">
        <f t="shared" ca="1" si="23"/>
        <v>100</v>
      </c>
      <c r="O92" s="11">
        <f ca="1">IF(D92="","",(L92*H39)+H38)</f>
        <v>19.130000000000006</v>
      </c>
      <c r="P92" s="9">
        <f t="shared" ca="1" si="24"/>
        <v>365.95690000000025</v>
      </c>
      <c r="Q92" s="9">
        <f t="shared" ca="1" si="25"/>
        <v>191.30000000000007</v>
      </c>
      <c r="R92" s="11">
        <f t="shared" ca="1" si="26"/>
        <v>10</v>
      </c>
      <c r="S92" s="11">
        <f t="shared" ca="1" si="27"/>
        <v>100</v>
      </c>
      <c r="T92" s="11">
        <f t="shared" ca="1" si="29"/>
        <v>19.130000000000006</v>
      </c>
      <c r="U92" s="11">
        <f t="shared" ca="1" si="29"/>
        <v>365.95690000000025</v>
      </c>
      <c r="V92" s="11">
        <f t="shared" ca="1" si="28"/>
        <v>191.30000000000007</v>
      </c>
    </row>
    <row r="93" spans="1:22" x14ac:dyDescent="0.3">
      <c r="A93" s="11">
        <f ca="1">'FALL 5'!A93</f>
        <v>49.691148443190642</v>
      </c>
      <c r="B93" s="11">
        <f ca="1">'FALL 5'!B93</f>
        <v>19.165157236496931</v>
      </c>
      <c r="C93" s="11">
        <f>'FALL 3'!C93</f>
        <v>20</v>
      </c>
      <c r="D93" s="11">
        <f ca="1">IF(C93=0,"",(B93*0.01*(B35)+K78))</f>
        <v>19.973505664131959</v>
      </c>
      <c r="E93" s="11"/>
      <c r="F93" s="11">
        <f ca="1">IF(D93="","",(D93*((D22-F36)/(99-0))+F36))</f>
        <v>10.48675283206598</v>
      </c>
      <c r="G93" s="11">
        <f t="shared" ca="1" si="19"/>
        <v>19.973505664131959</v>
      </c>
      <c r="H93" s="50" t="str">
        <f ca="1">IF(I176=C93,I93,"")</f>
        <v/>
      </c>
      <c r="I93" s="11">
        <f t="shared" ca="1" si="20"/>
        <v>10.5</v>
      </c>
      <c r="L93" s="11">
        <f ca="1">IF(D93="","",(L92+2*L185))</f>
        <v>10.555000000000003</v>
      </c>
      <c r="M93" s="11">
        <f t="shared" ca="1" si="21"/>
        <v>10.5</v>
      </c>
      <c r="N93" s="11">
        <f t="shared" ca="1" si="23"/>
        <v>110.25</v>
      </c>
      <c r="O93" s="11">
        <f ca="1">IF(D93="","",(L93*H39)+H38)</f>
        <v>20.110000000000007</v>
      </c>
      <c r="P93" s="9">
        <f t="shared" ca="1" si="24"/>
        <v>404.41210000000024</v>
      </c>
      <c r="Q93" s="9">
        <f t="shared" ca="1" si="25"/>
        <v>211.15500000000006</v>
      </c>
      <c r="R93" s="11">
        <f t="shared" ca="1" si="26"/>
        <v>11</v>
      </c>
      <c r="S93" s="11">
        <f t="shared" ca="1" si="27"/>
        <v>121</v>
      </c>
      <c r="T93" s="11">
        <f t="shared" ca="1" si="29"/>
        <v>20.110000000000007</v>
      </c>
      <c r="U93" s="11">
        <f t="shared" ca="1" si="29"/>
        <v>404.41210000000024</v>
      </c>
      <c r="V93" s="11">
        <f t="shared" ca="1" si="28"/>
        <v>221.21000000000006</v>
      </c>
    </row>
    <row r="94" spans="1:22" x14ac:dyDescent="0.3">
      <c r="A94" s="11">
        <f ca="1">'FALL 5'!A94</f>
        <v>54.990009558994942</v>
      </c>
      <c r="B94" s="11">
        <f ca="1">'FALL 5'!B94</f>
        <v>19.716125294376258</v>
      </c>
      <c r="C94" s="11">
        <f>'FALL 3'!C94</f>
        <v>21</v>
      </c>
      <c r="D94" s="11">
        <f ca="1">IF(C94=0,"",(B94*0.01*(B35)+K78))</f>
        <v>20.518964041432493</v>
      </c>
      <c r="E94" s="11"/>
      <c r="F94" s="11">
        <f ca="1">IF(D94="","",(D94*((D22-F36)/(99-0))+F36))</f>
        <v>10.759482020716247</v>
      </c>
      <c r="G94" s="11">
        <f t="shared" ca="1" si="19"/>
        <v>20.518964041432493</v>
      </c>
      <c r="H94" s="50" t="str">
        <f ca="1">IF(I176=C94,I94,"")</f>
        <v/>
      </c>
      <c r="I94" s="11">
        <f t="shared" ca="1" si="20"/>
        <v>10.8</v>
      </c>
      <c r="L94" s="11">
        <f ca="1">IF(D94="","",(L93+2*L185))</f>
        <v>11.045000000000003</v>
      </c>
      <c r="M94" s="11">
        <f t="shared" ca="1" si="21"/>
        <v>10.8</v>
      </c>
      <c r="N94" s="11">
        <f t="shared" ca="1" si="23"/>
        <v>116.64000000000001</v>
      </c>
      <c r="O94" s="11">
        <f ca="1">IF(D94="","",(L94*H39)+H38)</f>
        <v>21.090000000000007</v>
      </c>
      <c r="P94" s="9">
        <f t="shared" ca="1" si="24"/>
        <v>444.78810000000027</v>
      </c>
      <c r="Q94" s="9">
        <f t="shared" ca="1" si="25"/>
        <v>227.77200000000008</v>
      </c>
      <c r="R94" s="11">
        <f t="shared" ca="1" si="26"/>
        <v>11</v>
      </c>
      <c r="S94" s="11">
        <f t="shared" ca="1" si="27"/>
        <v>121</v>
      </c>
      <c r="T94" s="11">
        <f t="shared" ca="1" si="29"/>
        <v>21.090000000000007</v>
      </c>
      <c r="U94" s="11">
        <f t="shared" ca="1" si="29"/>
        <v>444.78810000000027</v>
      </c>
      <c r="V94" s="11">
        <f t="shared" ca="1" si="28"/>
        <v>231.99000000000007</v>
      </c>
    </row>
    <row r="95" spans="1:22" x14ac:dyDescent="0.3">
      <c r="A95" s="11">
        <f ca="1">'FALL 5'!A95</f>
        <v>42.527251835919955</v>
      </c>
      <c r="B95" s="11">
        <f ca="1">'FALL 5'!B95</f>
        <v>20.069201538126915</v>
      </c>
      <c r="C95" s="11">
        <f>'FALL 3'!C95</f>
        <v>22</v>
      </c>
      <c r="D95" s="11">
        <f ca="1">IF(C95=0,"",(B95*0.01*(B35)+K78))</f>
        <v>20.868509522745644</v>
      </c>
      <c r="E95" s="11"/>
      <c r="F95" s="11">
        <f ca="1">IF(D95="","",(D95*((D22-F36)/(99-0))+F36))</f>
        <v>10.934254761372822</v>
      </c>
      <c r="G95" s="11">
        <f t="shared" ca="1" si="19"/>
        <v>20.868509522745644</v>
      </c>
      <c r="H95" s="50" t="str">
        <f ca="1">IF(I176=C95,I95,"")</f>
        <v/>
      </c>
      <c r="I95" s="11">
        <f t="shared" ca="1" si="20"/>
        <v>10.9</v>
      </c>
      <c r="L95" s="11">
        <f ca="1">IF(D95="","",(L94+2*L185))</f>
        <v>11.535000000000004</v>
      </c>
      <c r="M95" s="11">
        <f t="shared" ca="1" si="21"/>
        <v>10.9</v>
      </c>
      <c r="N95" s="11">
        <f t="shared" ca="1" si="23"/>
        <v>118.81</v>
      </c>
      <c r="O95" s="11">
        <f ca="1">IF(D95="","",(L95*H39)+H38)</f>
        <v>22.070000000000007</v>
      </c>
      <c r="P95" s="9">
        <f t="shared" ca="1" si="24"/>
        <v>487.08490000000035</v>
      </c>
      <c r="Q95" s="9">
        <f t="shared" ca="1" si="25"/>
        <v>240.5630000000001</v>
      </c>
      <c r="R95" s="11">
        <f t="shared" ca="1" si="26"/>
        <v>11</v>
      </c>
      <c r="S95" s="11">
        <f t="shared" ca="1" si="27"/>
        <v>121</v>
      </c>
      <c r="T95" s="11">
        <f t="shared" ca="1" si="29"/>
        <v>22.070000000000007</v>
      </c>
      <c r="U95" s="11">
        <f t="shared" ca="1" si="29"/>
        <v>487.08490000000035</v>
      </c>
      <c r="V95" s="11">
        <f t="shared" ca="1" si="28"/>
        <v>242.7700000000001</v>
      </c>
    </row>
    <row r="96" spans="1:22" x14ac:dyDescent="0.3">
      <c r="A96" s="11">
        <f ca="1">'FALL 5'!A96</f>
        <v>29.016184708225413</v>
      </c>
      <c r="B96" s="11">
        <f ca="1">'FALL 5'!B96</f>
        <v>20.477118628301223</v>
      </c>
      <c r="C96" s="11">
        <f>'FALL 3'!C96</f>
        <v>23</v>
      </c>
      <c r="D96" s="11">
        <f ca="1">IF(C96=0,"",(B96*0.01*(B35)+K78))</f>
        <v>21.272347442018209</v>
      </c>
      <c r="E96" s="11"/>
      <c r="F96" s="11">
        <f ca="1">IF(D96="","",(D96*((D22-F36)/(99-0))+F36))</f>
        <v>11.136173721009104</v>
      </c>
      <c r="G96" s="11">
        <f t="shared" ca="1" si="19"/>
        <v>21.272347442018209</v>
      </c>
      <c r="H96" s="50" t="str">
        <f>IF(I1976=C96,I96,"")</f>
        <v/>
      </c>
      <c r="I96" s="11">
        <f t="shared" ca="1" si="20"/>
        <v>11.1</v>
      </c>
      <c r="L96" s="11">
        <f ca="1">IF(D96="","",(L95+2*L185))</f>
        <v>12.025000000000004</v>
      </c>
      <c r="M96" s="11">
        <f t="shared" ca="1" si="21"/>
        <v>11.1</v>
      </c>
      <c r="N96" s="11">
        <f t="shared" ca="1" si="23"/>
        <v>123.21</v>
      </c>
      <c r="O96" s="11">
        <f ca="1">IF(D96="","",(L96*H39)+H38)</f>
        <v>23.050000000000008</v>
      </c>
      <c r="P96" s="9">
        <f t="shared" ca="1" si="24"/>
        <v>531.30250000000035</v>
      </c>
      <c r="Q96" s="9">
        <f t="shared" ca="1" si="25"/>
        <v>255.85500000000008</v>
      </c>
      <c r="R96" s="11">
        <f t="shared" ca="1" si="26"/>
        <v>11</v>
      </c>
      <c r="S96" s="11">
        <f t="shared" ca="1" si="27"/>
        <v>121</v>
      </c>
      <c r="T96" s="11">
        <f t="shared" ca="1" si="29"/>
        <v>23.050000000000008</v>
      </c>
      <c r="U96" s="11">
        <f t="shared" ca="1" si="29"/>
        <v>531.30250000000035</v>
      </c>
      <c r="V96" s="11">
        <f t="shared" ca="1" si="28"/>
        <v>253.5500000000001</v>
      </c>
    </row>
    <row r="97" spans="1:22" x14ac:dyDescent="0.3">
      <c r="A97" s="11">
        <f ca="1">'FALL 5'!A97</f>
        <v>75.433313687716009</v>
      </c>
      <c r="B97" s="11">
        <f ca="1">'FALL 5'!B97</f>
        <v>21.722597038799464</v>
      </c>
      <c r="C97" s="11">
        <f>'FALL 3'!C97</f>
        <v>24</v>
      </c>
      <c r="D97" s="11">
        <f ca="1">IF(C97=0,"",(B97*0.01*(B35)+K78))</f>
        <v>22.505371068411463</v>
      </c>
      <c r="E97" s="11"/>
      <c r="F97" s="11">
        <f ca="1">IF(D97="","",(D97*((D22-F36)/(99-0))+F36))</f>
        <v>11.752685534205732</v>
      </c>
      <c r="G97" s="11">
        <f t="shared" ca="1" si="19"/>
        <v>22.505371068411463</v>
      </c>
      <c r="H97" s="50" t="str">
        <f ca="1">IF(I176=C97,I97,"")</f>
        <v/>
      </c>
      <c r="I97" s="11">
        <f t="shared" ca="1" si="20"/>
        <v>11.8</v>
      </c>
      <c r="L97" s="11">
        <f ca="1">IF(D97="","",(L96+2*L185))</f>
        <v>12.515000000000004</v>
      </c>
      <c r="M97" s="11">
        <f t="shared" ca="1" si="21"/>
        <v>11.8</v>
      </c>
      <c r="N97" s="11">
        <f t="shared" ca="1" si="23"/>
        <v>139.24</v>
      </c>
      <c r="O97" s="11">
        <f ca="1">IF(D97="","",(L97*H39)+H38)</f>
        <v>24.030000000000008</v>
      </c>
      <c r="P97" s="9">
        <f t="shared" ca="1" si="24"/>
        <v>577.4409000000004</v>
      </c>
      <c r="Q97" s="9">
        <f t="shared" ca="1" si="25"/>
        <v>283.55400000000009</v>
      </c>
      <c r="R97" s="11">
        <f t="shared" ca="1" si="26"/>
        <v>12</v>
      </c>
      <c r="S97" s="11">
        <f t="shared" ca="1" si="27"/>
        <v>144</v>
      </c>
      <c r="T97" s="11">
        <f t="shared" ca="1" si="29"/>
        <v>24.030000000000008</v>
      </c>
      <c r="U97" s="11">
        <f t="shared" ca="1" si="29"/>
        <v>577.4409000000004</v>
      </c>
      <c r="V97" s="11">
        <f t="shared" ca="1" si="28"/>
        <v>288.36000000000013</v>
      </c>
    </row>
    <row r="98" spans="1:22" x14ac:dyDescent="0.3">
      <c r="A98" s="11">
        <f ca="1">'FALL 5'!A98</f>
        <v>29.972532191020719</v>
      </c>
      <c r="B98" s="11">
        <f ca="1">'FALL 5'!B98</f>
        <v>21.832727086753366</v>
      </c>
      <c r="C98" s="11">
        <f>'FALL 3'!C98</f>
        <v>25</v>
      </c>
      <c r="D98" s="11">
        <f ca="1">IF(C98=0,"",(B98*0.01*(B35)+K78))</f>
        <v>22.614399815885832</v>
      </c>
      <c r="E98" s="11"/>
      <c r="F98" s="11">
        <f ca="1">IF(D98="","",(D98*((D22-F36)/(99-0))+F36))</f>
        <v>11.807199907942916</v>
      </c>
      <c r="G98" s="11">
        <f t="shared" ca="1" si="19"/>
        <v>22.614399815885832</v>
      </c>
      <c r="H98" s="50" t="str">
        <f ca="1">IF(I176=C98,I98,"")</f>
        <v/>
      </c>
      <c r="I98" s="11">
        <f t="shared" ca="1" si="20"/>
        <v>11.8</v>
      </c>
      <c r="L98" s="11">
        <f ca="1">IF(D98="","",(L97+2*L185))</f>
        <v>13.005000000000004</v>
      </c>
      <c r="M98" s="11">
        <f t="shared" ca="1" si="21"/>
        <v>11.8</v>
      </c>
      <c r="N98" s="11">
        <f t="shared" ca="1" si="23"/>
        <v>139.24</v>
      </c>
      <c r="O98" s="11">
        <f ca="1">IF(D98="","",(L98*H39)+H38)</f>
        <v>25.010000000000009</v>
      </c>
      <c r="P98" s="9">
        <f t="shared" ca="1" si="24"/>
        <v>625.50010000000043</v>
      </c>
      <c r="Q98" s="9">
        <f t="shared" ca="1" si="25"/>
        <v>295.11800000000011</v>
      </c>
      <c r="R98" s="11">
        <f t="shared" ca="1" si="26"/>
        <v>12</v>
      </c>
      <c r="S98" s="11">
        <f t="shared" ca="1" si="27"/>
        <v>144</v>
      </c>
      <c r="T98" s="11">
        <f t="shared" ca="1" si="29"/>
        <v>25.010000000000009</v>
      </c>
      <c r="U98" s="11">
        <f t="shared" ca="1" si="29"/>
        <v>625.50010000000043</v>
      </c>
      <c r="V98" s="11">
        <f t="shared" ca="1" si="28"/>
        <v>300.12000000000012</v>
      </c>
    </row>
    <row r="99" spans="1:22" x14ac:dyDescent="0.3">
      <c r="A99" s="11">
        <f ca="1">'FALL 5'!A99</f>
        <v>98.808316937464056</v>
      </c>
      <c r="B99" s="11">
        <f ca="1">'FALL 5'!B99</f>
        <v>22.363985131911313</v>
      </c>
      <c r="C99" s="11">
        <f>'FALL 3'!C99</f>
        <v>26</v>
      </c>
      <c r="D99" s="11">
        <f ca="1">IF(C99=0,"",(B99*0.01*(B35)+K78))</f>
        <v>23.140345280592197</v>
      </c>
      <c r="E99" s="11"/>
      <c r="F99" s="11">
        <f ca="1">IF(D99="","",(D99*((D22-F36)/(99-0))+F36))</f>
        <v>12.070172640296098</v>
      </c>
      <c r="G99" s="11">
        <f t="shared" ca="1" si="19"/>
        <v>23.140345280592197</v>
      </c>
      <c r="H99" s="50" t="str">
        <f ca="1">IF(I176=C99,I99,"")</f>
        <v/>
      </c>
      <c r="I99" s="11">
        <f t="shared" ca="1" si="20"/>
        <v>12.1</v>
      </c>
      <c r="L99" s="11">
        <f ca="1">IF(D99="","",(L98+2*L185))</f>
        <v>13.495000000000005</v>
      </c>
      <c r="M99" s="11">
        <f t="shared" ca="1" si="21"/>
        <v>12.1</v>
      </c>
      <c r="N99" s="11">
        <f t="shared" ca="1" si="23"/>
        <v>146.41</v>
      </c>
      <c r="O99" s="11">
        <f ca="1">IF(D99="","",(L99*H39)+H38)</f>
        <v>25.990000000000009</v>
      </c>
      <c r="P99" s="9">
        <f t="shared" ca="1" si="24"/>
        <v>675.48010000000045</v>
      </c>
      <c r="Q99" s="9">
        <f t="shared" ca="1" si="25"/>
        <v>314.4790000000001</v>
      </c>
      <c r="R99" s="11">
        <f t="shared" ca="1" si="26"/>
        <v>12</v>
      </c>
      <c r="S99" s="11">
        <f t="shared" ca="1" si="27"/>
        <v>144</v>
      </c>
      <c r="T99" s="11">
        <f t="shared" ca="1" si="29"/>
        <v>25.990000000000009</v>
      </c>
      <c r="U99" s="11">
        <f t="shared" ca="1" si="29"/>
        <v>675.48010000000045</v>
      </c>
      <c r="V99" s="11">
        <f t="shared" ca="1" si="28"/>
        <v>311.88000000000011</v>
      </c>
    </row>
    <row r="100" spans="1:22" x14ac:dyDescent="0.3">
      <c r="A100" s="11">
        <f ca="1">'FALL 5'!A100</f>
        <v>57.231159567227657</v>
      </c>
      <c r="B100" s="11">
        <f ca="1">'FALL 5'!B100</f>
        <v>22.402120716537858</v>
      </c>
      <c r="C100" s="11">
        <f>'FALL 3'!C100</f>
        <v>27</v>
      </c>
      <c r="D100" s="11">
        <f ca="1">IF(C100=0,"",(B100*0.01*(B35)+K78))</f>
        <v>23.17809950937248</v>
      </c>
      <c r="E100" s="11"/>
      <c r="F100" s="11">
        <f ca="1">IF(D100="","",(D100*((D22-F36)/(99-0))+F36))</f>
        <v>12.08904975468624</v>
      </c>
      <c r="G100" s="11">
        <f t="shared" ca="1" si="19"/>
        <v>23.17809950937248</v>
      </c>
      <c r="H100" s="50" t="str">
        <f ca="1">IF(I176=C100,I100,"")</f>
        <v/>
      </c>
      <c r="I100" s="11">
        <f t="shared" ca="1" si="20"/>
        <v>12.1</v>
      </c>
      <c r="L100" s="11">
        <f ca="1">IF(D100="","",(L99+2*L185))</f>
        <v>13.985000000000005</v>
      </c>
      <c r="M100" s="11">
        <f t="shared" ca="1" si="21"/>
        <v>12.1</v>
      </c>
      <c r="N100" s="11">
        <f t="shared" ca="1" si="23"/>
        <v>146.41</v>
      </c>
      <c r="O100" s="11">
        <f ca="1">IF(D100="","",(L100*H39)+H38)</f>
        <v>26.97000000000001</v>
      </c>
      <c r="P100" s="9">
        <f t="shared" ca="1" si="24"/>
        <v>727.38090000000057</v>
      </c>
      <c r="Q100" s="9">
        <f t="shared" ca="1" si="25"/>
        <v>326.3370000000001</v>
      </c>
      <c r="R100" s="11">
        <f t="shared" ca="1" si="26"/>
        <v>12</v>
      </c>
      <c r="S100" s="11">
        <f t="shared" ca="1" si="27"/>
        <v>144</v>
      </c>
      <c r="T100" s="11">
        <f t="shared" ca="1" si="29"/>
        <v>26.97000000000001</v>
      </c>
      <c r="U100" s="11">
        <f t="shared" ca="1" si="29"/>
        <v>727.38090000000057</v>
      </c>
      <c r="V100" s="11">
        <f t="shared" ca="1" si="28"/>
        <v>323.6400000000001</v>
      </c>
    </row>
    <row r="101" spans="1:22" x14ac:dyDescent="0.3">
      <c r="A101" s="11">
        <f ca="1">'FALL 5'!A101</f>
        <v>14.787882301540993</v>
      </c>
      <c r="B101" s="11">
        <f ca="1">'FALL 5'!B101</f>
        <v>22.66610817703523</v>
      </c>
      <c r="C101" s="11">
        <f>'FALL 3'!C101</f>
        <v>28</v>
      </c>
      <c r="D101" s="11">
        <f ca="1">IF(C101=0,"",(B101*0.01*(B35)+K78))</f>
        <v>23.439447095264875</v>
      </c>
      <c r="E101" s="11"/>
      <c r="F101" s="11">
        <f ca="1">IF(D101="","",(D101*((D22-F36)/(99-0))+F36))</f>
        <v>12.219723547632437</v>
      </c>
      <c r="G101" s="11">
        <f t="shared" ca="1" si="19"/>
        <v>23.439447095264875</v>
      </c>
      <c r="H101" s="50" t="str">
        <f ca="1">IF(I176=C101,I101,"")</f>
        <v/>
      </c>
      <c r="I101" s="11">
        <f t="shared" ca="1" si="20"/>
        <v>12.2</v>
      </c>
      <c r="L101" s="11">
        <f ca="1">IF(D101="","",(L100+2*L185))</f>
        <v>14.475000000000005</v>
      </c>
      <c r="M101" s="11">
        <f t="shared" ca="1" si="21"/>
        <v>12.2</v>
      </c>
      <c r="N101" s="11">
        <f t="shared" ca="1" si="23"/>
        <v>148.83999999999997</v>
      </c>
      <c r="O101" s="11">
        <f ca="1">IF(D101="","",(L101*H39)+H38)</f>
        <v>27.95000000000001</v>
      </c>
      <c r="P101" s="9">
        <f t="shared" ca="1" si="24"/>
        <v>781.20250000000055</v>
      </c>
      <c r="Q101" s="9">
        <f t="shared" ca="1" si="25"/>
        <v>340.99000000000012</v>
      </c>
      <c r="R101" s="11">
        <f t="shared" ca="1" si="26"/>
        <v>12</v>
      </c>
      <c r="S101" s="11">
        <f t="shared" ca="1" si="27"/>
        <v>144</v>
      </c>
      <c r="T101" s="11">
        <f t="shared" ca="1" si="29"/>
        <v>27.95000000000001</v>
      </c>
      <c r="U101" s="11">
        <f t="shared" ca="1" si="29"/>
        <v>781.20250000000055</v>
      </c>
      <c r="V101" s="11">
        <f t="shared" ca="1" si="28"/>
        <v>335.40000000000009</v>
      </c>
    </row>
    <row r="102" spans="1:22" x14ac:dyDescent="0.3">
      <c r="A102" s="11">
        <f ca="1">'FALL 5'!A102</f>
        <v>40.887985740747538</v>
      </c>
      <c r="B102" s="11">
        <f ca="1">'FALL 5'!B102</f>
        <v>22.798403487660405</v>
      </c>
      <c r="C102" s="11">
        <f>'FALL 3'!C102</f>
        <v>29</v>
      </c>
      <c r="D102" s="11">
        <f ca="1">IF(C102=0,"",(B102*0.01*(B35)+K78))</f>
        <v>23.570419452783796</v>
      </c>
      <c r="E102" s="11"/>
      <c r="F102" s="11">
        <f ca="1">IF(D102="","",(D102*((D22-F36)/(99-0))+F36))</f>
        <v>12.285209726391898</v>
      </c>
      <c r="G102" s="11">
        <f t="shared" ca="1" si="19"/>
        <v>23.570419452783796</v>
      </c>
      <c r="H102" s="50" t="str">
        <f ca="1">IF(I176=C102,I102,"")</f>
        <v/>
      </c>
      <c r="I102" s="11">
        <f t="shared" ca="1" si="20"/>
        <v>12.3</v>
      </c>
      <c r="J102" s="11"/>
      <c r="K102" s="11"/>
      <c r="L102" s="11">
        <f ca="1">IF(D102="","",(L101+2*L185))</f>
        <v>14.965000000000005</v>
      </c>
      <c r="M102" s="11">
        <f t="shared" ca="1" si="21"/>
        <v>12.3</v>
      </c>
      <c r="N102" s="11">
        <f t="shared" ca="1" si="23"/>
        <v>151.29000000000002</v>
      </c>
      <c r="O102" s="11">
        <f ca="1">IF(D102="","",(L102*H39)+H38)</f>
        <v>28.93000000000001</v>
      </c>
      <c r="P102" s="11">
        <f t="shared" ca="1" si="24"/>
        <v>836.94490000000064</v>
      </c>
      <c r="Q102" s="11">
        <f t="shared" ca="1" si="25"/>
        <v>355.83900000000017</v>
      </c>
      <c r="R102" s="11">
        <f t="shared" ca="1" si="26"/>
        <v>12</v>
      </c>
      <c r="S102" s="11">
        <f t="shared" ca="1" si="27"/>
        <v>144</v>
      </c>
      <c r="T102" s="11">
        <f t="shared" ca="1" si="29"/>
        <v>28.93000000000001</v>
      </c>
      <c r="U102" s="11">
        <f t="shared" ca="1" si="29"/>
        <v>836.94490000000064</v>
      </c>
      <c r="V102" s="11">
        <f t="shared" ca="1" si="28"/>
        <v>347.16000000000014</v>
      </c>
    </row>
    <row r="103" spans="1:22" x14ac:dyDescent="0.3">
      <c r="A103" s="11">
        <f ca="1">'FALL 5'!A103</f>
        <v>88.960234235886745</v>
      </c>
      <c r="B103" s="11">
        <f ca="1">'FALL 5'!B103</f>
        <v>22.988763705825928</v>
      </c>
      <c r="C103" s="11">
        <f>'FALL 3'!C103</f>
        <v>30</v>
      </c>
      <c r="D103" s="11">
        <f ca="1">IF(C103=0,"",(B103*0.01*(B35)+K78))</f>
        <v>23.758876068767666</v>
      </c>
      <c r="E103" s="11"/>
      <c r="F103" s="11">
        <f ca="1">IF(D103="","",(D103*((D22-F36)/(99-0))+F36))</f>
        <v>12.379438034383833</v>
      </c>
      <c r="G103" s="11">
        <f t="shared" ca="1" si="19"/>
        <v>23.758876068767666</v>
      </c>
      <c r="H103" s="50" t="str">
        <f ca="1">IF(I176=C103,I103,"")</f>
        <v/>
      </c>
      <c r="I103" s="11">
        <f t="shared" ca="1" si="20"/>
        <v>12.4</v>
      </c>
      <c r="J103" s="11"/>
      <c r="K103" s="11"/>
      <c r="L103" s="11">
        <f ca="1">IF(D103="","",(L102+2*L185))</f>
        <v>15.455000000000005</v>
      </c>
      <c r="M103" s="11">
        <f t="shared" ca="1" si="21"/>
        <v>12.4</v>
      </c>
      <c r="N103" s="11">
        <f t="shared" ca="1" si="23"/>
        <v>153.76000000000002</v>
      </c>
      <c r="O103" s="11">
        <f ca="1">IF(D103="","",(L103*H39)+H38)</f>
        <v>29.910000000000011</v>
      </c>
      <c r="P103" s="11">
        <f t="shared" ca="1" si="24"/>
        <v>894.6081000000006</v>
      </c>
      <c r="Q103" s="11">
        <f t="shared" ca="1" si="25"/>
        <v>370.88400000000013</v>
      </c>
      <c r="R103" s="11">
        <f t="shared" ca="1" si="26"/>
        <v>12</v>
      </c>
      <c r="S103" s="11">
        <f t="shared" ca="1" si="27"/>
        <v>144</v>
      </c>
      <c r="T103" s="11">
        <f t="shared" ca="1" si="29"/>
        <v>29.910000000000011</v>
      </c>
      <c r="U103" s="11">
        <f t="shared" ca="1" si="29"/>
        <v>894.6081000000006</v>
      </c>
      <c r="V103" s="11">
        <f t="shared" ca="1" si="28"/>
        <v>358.92000000000013</v>
      </c>
    </row>
    <row r="104" spans="1:22" x14ac:dyDescent="0.3">
      <c r="A104" s="11">
        <f ca="1">'FALL 5'!A104</f>
        <v>45.47883392341403</v>
      </c>
      <c r="B104" s="11">
        <f ca="1">'FALL 5'!B104</f>
        <v>24.222389089655788</v>
      </c>
      <c r="C104" s="11">
        <f>'FALL 3'!C104</f>
        <v>31</v>
      </c>
      <c r="D104" s="11">
        <f ca="1">IF(C104=0,"",(B104*0.01*(B35)+K78))</f>
        <v>24.980165198759227</v>
      </c>
      <c r="E104" s="11"/>
      <c r="F104" s="11">
        <f ca="1">IF(D104="","",(D104*((D22-F36)/(99-0))+F36))</f>
        <v>12.990082599379614</v>
      </c>
      <c r="G104" s="11">
        <f t="shared" ca="1" si="19"/>
        <v>24.980165198759227</v>
      </c>
      <c r="H104" s="50" t="str">
        <f ca="1">IF(I176=C104,I104,"")</f>
        <v/>
      </c>
      <c r="I104" s="11">
        <f t="shared" ca="1" si="20"/>
        <v>13</v>
      </c>
      <c r="J104" s="11"/>
      <c r="K104" s="11"/>
      <c r="L104" s="11">
        <f ca="1">IF(D104="","",(L103+2*L185))</f>
        <v>15.945000000000006</v>
      </c>
      <c r="M104" s="11">
        <f t="shared" ca="1" si="21"/>
        <v>13</v>
      </c>
      <c r="N104" s="11">
        <f t="shared" ca="1" si="23"/>
        <v>169</v>
      </c>
      <c r="O104" s="11">
        <f ca="1">IF(D104="","",(L104*H39)+H38)</f>
        <v>30.890000000000011</v>
      </c>
      <c r="P104" s="11">
        <f t="shared" ca="1" si="24"/>
        <v>954.19210000000066</v>
      </c>
      <c r="Q104" s="11">
        <f t="shared" ca="1" si="25"/>
        <v>401.57000000000016</v>
      </c>
      <c r="R104" s="11">
        <f t="shared" ca="1" si="26"/>
        <v>13</v>
      </c>
      <c r="S104" s="11">
        <f t="shared" ca="1" si="27"/>
        <v>169</v>
      </c>
      <c r="T104" s="11">
        <f t="shared" ca="1" si="29"/>
        <v>30.890000000000011</v>
      </c>
      <c r="U104" s="11">
        <f t="shared" ca="1" si="29"/>
        <v>954.19210000000066</v>
      </c>
      <c r="V104" s="11">
        <f t="shared" ca="1" si="28"/>
        <v>401.57000000000016</v>
      </c>
    </row>
    <row r="105" spans="1:22" x14ac:dyDescent="0.3">
      <c r="A105" s="11">
        <f ca="1">'FALL 5'!A105</f>
        <v>10.913854291659938</v>
      </c>
      <c r="B105" s="11">
        <f ca="1">'FALL 5'!B105</f>
        <v>26.935136806361843</v>
      </c>
      <c r="C105" s="11">
        <f>'FALL 3'!C105</f>
        <v>32</v>
      </c>
      <c r="D105" s="11">
        <f ca="1">IF(C105=0,"",(B105*0.01*(B35)+K78))</f>
        <v>27.665785438298219</v>
      </c>
      <c r="E105" s="11"/>
      <c r="F105" s="11">
        <f ca="1">IF(D105="","",(D105*((D22-F36)/(99-0))+F36))</f>
        <v>14.332892719149109</v>
      </c>
      <c r="G105" s="11">
        <f t="shared" ca="1" si="19"/>
        <v>27.665785438298219</v>
      </c>
      <c r="H105" s="50" t="str">
        <f>IF(I2176=C105,I105,"")</f>
        <v/>
      </c>
      <c r="I105" s="11">
        <f t="shared" ca="1" si="20"/>
        <v>14.3</v>
      </c>
      <c r="J105" s="11"/>
      <c r="K105" s="11"/>
      <c r="L105" s="11">
        <f ca="1">IF(D105="","",(L104+2*L185))</f>
        <v>16.435000000000006</v>
      </c>
      <c r="M105" s="11">
        <f t="shared" ca="1" si="21"/>
        <v>14.3</v>
      </c>
      <c r="N105" s="11">
        <f t="shared" ca="1" si="23"/>
        <v>204.49</v>
      </c>
      <c r="O105" s="11">
        <f ca="1">IF(D105="","",(L105*H39)+H38)</f>
        <v>31.870000000000012</v>
      </c>
      <c r="P105" s="11">
        <f t="shared" ca="1" si="24"/>
        <v>1015.6969000000007</v>
      </c>
      <c r="Q105" s="11">
        <f t="shared" ca="1" si="25"/>
        <v>455.74100000000021</v>
      </c>
      <c r="R105" s="11">
        <f t="shared" ca="1" si="26"/>
        <v>14</v>
      </c>
      <c r="S105" s="11">
        <f t="shared" ca="1" si="27"/>
        <v>196</v>
      </c>
      <c r="T105" s="11">
        <f t="shared" ca="1" si="29"/>
        <v>31.870000000000012</v>
      </c>
      <c r="U105" s="11">
        <f t="shared" ca="1" si="29"/>
        <v>1015.6969000000007</v>
      </c>
      <c r="V105" s="11">
        <f t="shared" ca="1" si="28"/>
        <v>446.18000000000018</v>
      </c>
    </row>
    <row r="106" spans="1:22" x14ac:dyDescent="0.3">
      <c r="A106" s="11">
        <f ca="1">'FALL 5'!A106</f>
        <v>18.068569221852552</v>
      </c>
      <c r="B106" s="11">
        <f ca="1">'FALL 5'!B106</f>
        <v>28.040272016733912</v>
      </c>
      <c r="C106" s="11">
        <f>'FALL 3'!C106</f>
        <v>33</v>
      </c>
      <c r="D106" s="11">
        <f ca="1">IF(C106=0,"",(B106*0.01*(B35)+K78))</f>
        <v>28.759869296566571</v>
      </c>
      <c r="E106" s="11"/>
      <c r="F106" s="11">
        <f ca="1">IF(D106="","",(D106*((D22-F36)/(99-0))+F36))</f>
        <v>14.879934648283285</v>
      </c>
      <c r="G106" s="11">
        <f t="shared" ca="1" si="19"/>
        <v>28.759869296566571</v>
      </c>
      <c r="H106" s="50" t="str">
        <f ca="1">IF(I176=C106,I106,"")</f>
        <v/>
      </c>
      <c r="I106" s="11">
        <f t="shared" ca="1" si="20"/>
        <v>14.9</v>
      </c>
      <c r="J106" s="11"/>
      <c r="K106" s="11"/>
      <c r="L106" s="11">
        <f ca="1">IF(D106="","",(L105+2*L185))</f>
        <v>16.925000000000004</v>
      </c>
      <c r="M106" s="11">
        <f t="shared" ca="1" si="21"/>
        <v>14.9</v>
      </c>
      <c r="N106" s="11">
        <f t="shared" ca="1" si="23"/>
        <v>222.01000000000002</v>
      </c>
      <c r="O106" s="11">
        <f ca="1">IF(D106="","",(L106*H39)+H38)</f>
        <v>32.850000000000009</v>
      </c>
      <c r="P106" s="11">
        <f t="shared" ca="1" si="24"/>
        <v>1079.1225000000006</v>
      </c>
      <c r="Q106" s="11">
        <f t="shared" ca="1" si="25"/>
        <v>489.46500000000015</v>
      </c>
      <c r="R106" s="11">
        <f t="shared" ca="1" si="26"/>
        <v>15</v>
      </c>
      <c r="S106" s="11">
        <f t="shared" ca="1" si="27"/>
        <v>225</v>
      </c>
      <c r="T106" s="11">
        <f t="shared" ca="1" si="29"/>
        <v>32.850000000000009</v>
      </c>
      <c r="U106" s="11">
        <f t="shared" ca="1" si="29"/>
        <v>1079.1225000000006</v>
      </c>
      <c r="V106" s="11">
        <f t="shared" ca="1" si="28"/>
        <v>492.75000000000011</v>
      </c>
    </row>
    <row r="107" spans="1:22" x14ac:dyDescent="0.3">
      <c r="A107" s="11">
        <f ca="1">'FALL 5'!A107</f>
        <v>58.464920340926298</v>
      </c>
      <c r="B107" s="11">
        <f ca="1">'FALL 5'!B107</f>
        <v>29.016184708225413</v>
      </c>
      <c r="C107" s="11">
        <f>'FALL 3'!C107</f>
        <v>34</v>
      </c>
      <c r="D107" s="11">
        <f ca="1">IF(C107=0,"",(B107*0.01*(B35)+K78))</f>
        <v>29.726022861143154</v>
      </c>
      <c r="E107" s="11"/>
      <c r="F107" s="11">
        <f ca="1">IF(D107="","",(D107*((D22-F36)/(99-0))+F36))</f>
        <v>15.363011430571577</v>
      </c>
      <c r="G107" s="11">
        <f t="shared" ca="1" si="19"/>
        <v>29.726022861143154</v>
      </c>
      <c r="H107" s="50" t="str">
        <f ca="1">IF(I176=C107,I107,"")</f>
        <v/>
      </c>
      <c r="I107" s="11">
        <f t="shared" ca="1" si="20"/>
        <v>15.4</v>
      </c>
      <c r="J107" s="11"/>
      <c r="K107" s="11"/>
      <c r="L107" s="11">
        <f ca="1">IF(D107="","",(L106+2*L185))</f>
        <v>17.415000000000003</v>
      </c>
      <c r="M107" s="11">
        <f t="shared" ca="1" si="21"/>
        <v>15.4</v>
      </c>
      <c r="N107" s="11">
        <f t="shared" ca="1" si="23"/>
        <v>237.16000000000003</v>
      </c>
      <c r="O107" s="11">
        <f ca="1">IF(D107="","",(L107*H39)+H38)</f>
        <v>33.830000000000005</v>
      </c>
      <c r="P107" s="11">
        <f t="shared" ca="1" si="24"/>
        <v>1144.4689000000003</v>
      </c>
      <c r="Q107" s="11">
        <f t="shared" ca="1" si="25"/>
        <v>520.98200000000008</v>
      </c>
      <c r="R107" s="11">
        <f t="shared" ca="1" si="26"/>
        <v>15</v>
      </c>
      <c r="S107" s="11">
        <f t="shared" ca="1" si="27"/>
        <v>225</v>
      </c>
      <c r="T107" s="11">
        <f t="shared" ca="1" si="29"/>
        <v>33.830000000000005</v>
      </c>
      <c r="U107" s="11">
        <f t="shared" ca="1" si="29"/>
        <v>1144.4689000000003</v>
      </c>
      <c r="V107" s="11">
        <f t="shared" ca="1" si="28"/>
        <v>507.4500000000001</v>
      </c>
    </row>
    <row r="108" spans="1:22" x14ac:dyDescent="0.3">
      <c r="A108" s="11">
        <f ca="1">'FALL 5'!A108</f>
        <v>55.921474171140048</v>
      </c>
      <c r="B108" s="11">
        <f ca="1">'FALL 5'!B108</f>
        <v>29.972532191020719</v>
      </c>
      <c r="C108" s="11">
        <f>'FALL 3'!C108</f>
        <v>35</v>
      </c>
      <c r="D108" s="11">
        <f ca="1">IF(C108=0,"",(B108*0.01*(B35)+K78))</f>
        <v>30.672806869110506</v>
      </c>
      <c r="E108" s="11"/>
      <c r="F108" s="11">
        <f ca="1">IF(D108="","",(D108*((D22-F36)/(99-0))+F36))</f>
        <v>15.836403434555253</v>
      </c>
      <c r="G108" s="11">
        <f t="shared" ca="1" si="19"/>
        <v>30.672806869110506</v>
      </c>
      <c r="H108" s="50" t="str">
        <f ca="1">IF(I176=C108,I108,"")</f>
        <v/>
      </c>
      <c r="I108" s="11">
        <f t="shared" ca="1" si="20"/>
        <v>15.8</v>
      </c>
      <c r="J108" s="11"/>
      <c r="K108" s="11"/>
      <c r="L108" s="11">
        <f ca="1">IF(D108="","",(L107+2*L185))</f>
        <v>17.905000000000001</v>
      </c>
      <c r="M108" s="11">
        <f t="shared" ca="1" si="21"/>
        <v>15.8</v>
      </c>
      <c r="N108" s="11">
        <f t="shared" ca="1" si="23"/>
        <v>249.64000000000001</v>
      </c>
      <c r="O108" s="11">
        <f ca="1">IF(D108="","",(L108*H39)+H38)</f>
        <v>34.81</v>
      </c>
      <c r="P108" s="11">
        <f t="shared" ca="1" si="24"/>
        <v>1211.7361000000001</v>
      </c>
      <c r="Q108" s="11">
        <f t="shared" ca="1" si="25"/>
        <v>549.99800000000005</v>
      </c>
      <c r="R108" s="11">
        <f t="shared" ca="1" si="26"/>
        <v>16</v>
      </c>
      <c r="S108" s="11">
        <f t="shared" ca="1" si="27"/>
        <v>256</v>
      </c>
      <c r="T108" s="11">
        <f t="shared" ca="1" si="29"/>
        <v>34.81</v>
      </c>
      <c r="U108" s="11">
        <f t="shared" ca="1" si="29"/>
        <v>1211.7361000000001</v>
      </c>
      <c r="V108" s="11">
        <f t="shared" ca="1" si="28"/>
        <v>556.96</v>
      </c>
    </row>
    <row r="109" spans="1:22" x14ac:dyDescent="0.3">
      <c r="A109" s="11">
        <f ca="1">'FALL 5'!A109</f>
        <v>82.652071906329411</v>
      </c>
      <c r="B109" s="11">
        <f ca="1">'FALL 5'!B109</f>
        <v>30.123378148520377</v>
      </c>
      <c r="C109" s="11">
        <f>'FALL 3'!C109</f>
        <v>36</v>
      </c>
      <c r="D109" s="11">
        <f ca="1">IF(C109=0,"",(B109*0.01*(B35)+K78))</f>
        <v>30.822144367035172</v>
      </c>
      <c r="E109" s="11"/>
      <c r="F109" s="11">
        <f ca="1">IF(D109="","",(D109*((D22-F36)/(99-0))+F36))</f>
        <v>15.911072183517586</v>
      </c>
      <c r="G109" s="11">
        <f t="shared" ca="1" si="19"/>
        <v>30.822144367035172</v>
      </c>
      <c r="H109" s="50" t="str">
        <f ca="1">IF(I176=C109,I109,"")</f>
        <v/>
      </c>
      <c r="I109" s="11">
        <f t="shared" ca="1" si="20"/>
        <v>15.9</v>
      </c>
      <c r="J109" s="11"/>
      <c r="K109" s="11"/>
      <c r="L109" s="11">
        <f ca="1">IF(D109="","",(L108+2*L185))</f>
        <v>18.395</v>
      </c>
      <c r="M109" s="11">
        <f t="shared" ca="1" si="21"/>
        <v>15.9</v>
      </c>
      <c r="N109" s="11">
        <f t="shared" ca="1" si="23"/>
        <v>252.81</v>
      </c>
      <c r="O109" s="11">
        <f ca="1">IF(D109="","",(L109*H39)+H38)</f>
        <v>35.79</v>
      </c>
      <c r="P109" s="11">
        <f t="shared" ca="1" si="24"/>
        <v>1280.9241</v>
      </c>
      <c r="Q109" s="11">
        <f t="shared" ca="1" si="25"/>
        <v>569.06100000000004</v>
      </c>
      <c r="R109" s="11">
        <f t="shared" ca="1" si="26"/>
        <v>16</v>
      </c>
      <c r="S109" s="11">
        <f t="shared" ca="1" si="27"/>
        <v>256</v>
      </c>
      <c r="T109" s="11">
        <f t="shared" ca="1" si="29"/>
        <v>35.79</v>
      </c>
      <c r="U109" s="11">
        <f t="shared" ca="1" si="29"/>
        <v>1280.9241</v>
      </c>
      <c r="V109" s="11">
        <f t="shared" ca="1" si="28"/>
        <v>572.64</v>
      </c>
    </row>
    <row r="110" spans="1:22" x14ac:dyDescent="0.3">
      <c r="A110" s="11">
        <f ca="1">'FALL 5'!A110</f>
        <v>78.113730407507262</v>
      </c>
      <c r="B110" s="11">
        <f ca="1">'FALL 5'!B110</f>
        <v>30.392788314351847</v>
      </c>
      <c r="C110" s="11">
        <f>'FALL 3'!C110</f>
        <v>37</v>
      </c>
      <c r="D110" s="11">
        <f ca="1">IF(C110=0,"",(B110*0.01*(B35)+K78))</f>
        <v>31.088860431208325</v>
      </c>
      <c r="E110" s="11"/>
      <c r="F110" s="11">
        <f ca="1">IF(D110="","",(D110*((D22-F36)/(99-0))+F36))</f>
        <v>16.044430215604162</v>
      </c>
      <c r="G110" s="11">
        <f t="shared" ca="1" si="19"/>
        <v>31.088860431208325</v>
      </c>
      <c r="H110" s="50" t="str">
        <f ca="1">IF(I176=C110,I110,"")</f>
        <v/>
      </c>
      <c r="I110" s="11">
        <f t="shared" ca="1" si="20"/>
        <v>16</v>
      </c>
      <c r="J110" s="11"/>
      <c r="K110" s="11"/>
      <c r="L110" s="11">
        <f ca="1">IF(D110="","",(L109+2*L185))</f>
        <v>18.884999999999998</v>
      </c>
      <c r="M110" s="11">
        <f t="shared" ca="1" si="21"/>
        <v>16</v>
      </c>
      <c r="N110" s="11">
        <f t="shared" ca="1" si="23"/>
        <v>256</v>
      </c>
      <c r="O110" s="11">
        <f ca="1">IF(D110="","",(L110*H39)+H38)</f>
        <v>36.769999999999996</v>
      </c>
      <c r="P110" s="11">
        <f t="shared" ca="1" si="24"/>
        <v>1352.0328999999997</v>
      </c>
      <c r="Q110" s="11">
        <f t="shared" ca="1" si="25"/>
        <v>588.31999999999994</v>
      </c>
      <c r="R110" s="11">
        <f t="shared" ca="1" si="26"/>
        <v>16</v>
      </c>
      <c r="S110" s="11">
        <f t="shared" ca="1" si="27"/>
        <v>256</v>
      </c>
      <c r="T110" s="11">
        <f t="shared" ca="1" si="29"/>
        <v>36.769999999999996</v>
      </c>
      <c r="U110" s="11">
        <f t="shared" ca="1" si="29"/>
        <v>1352.0328999999997</v>
      </c>
      <c r="V110" s="11">
        <f t="shared" ca="1" si="28"/>
        <v>588.31999999999994</v>
      </c>
    </row>
    <row r="111" spans="1:22" x14ac:dyDescent="0.3">
      <c r="A111" s="11">
        <f ca="1">'FALL 5'!A111</f>
        <v>67.554798364905551</v>
      </c>
      <c r="B111" s="11">
        <f ca="1">'FALL 5'!B111</f>
        <v>30.928527190486321</v>
      </c>
      <c r="C111" s="11">
        <f>'FALL 3'!C111</f>
        <v>38</v>
      </c>
      <c r="D111" s="11">
        <f ca="1">IF(C111=0,"",(B111*0.01*(B35)+K78))</f>
        <v>31.619241918581455</v>
      </c>
      <c r="E111" s="11"/>
      <c r="F111" s="11">
        <f ca="1">IF(D111="","",(D111*((D22-F36)/(99-0))+F36))</f>
        <v>16.309620959290726</v>
      </c>
      <c r="G111" s="11">
        <f t="shared" ca="1" si="19"/>
        <v>31.619241918581455</v>
      </c>
      <c r="H111" s="50" t="str">
        <f ca="1">IF(I176=C111,I111,"")</f>
        <v/>
      </c>
      <c r="I111" s="11">
        <f t="shared" ca="1" si="20"/>
        <v>16.3</v>
      </c>
      <c r="J111" s="11"/>
      <c r="K111" s="11"/>
      <c r="L111" s="11">
        <f ca="1">IF(D111="","",(L110+2*L185))</f>
        <v>19.374999999999996</v>
      </c>
      <c r="M111" s="11">
        <f t="shared" ca="1" si="21"/>
        <v>16.3</v>
      </c>
      <c r="N111" s="11">
        <f t="shared" ca="1" si="23"/>
        <v>265.69</v>
      </c>
      <c r="O111" s="11">
        <f ca="1">IF(D111="","",(L111*H39)+H38)</f>
        <v>37.749999999999993</v>
      </c>
      <c r="P111" s="11">
        <f t="shared" ca="1" si="24"/>
        <v>1425.0624999999995</v>
      </c>
      <c r="Q111" s="11">
        <f t="shared" ca="1" si="25"/>
        <v>615.32499999999993</v>
      </c>
      <c r="R111" s="11">
        <f t="shared" ca="1" si="26"/>
        <v>16</v>
      </c>
      <c r="S111" s="11">
        <f t="shared" ca="1" si="27"/>
        <v>256</v>
      </c>
      <c r="T111" s="11">
        <f t="shared" ca="1" si="29"/>
        <v>37.749999999999993</v>
      </c>
      <c r="U111" s="11">
        <f t="shared" ca="1" si="29"/>
        <v>1425.0624999999995</v>
      </c>
      <c r="V111" s="11">
        <f t="shared" ca="1" si="28"/>
        <v>603.99999999999989</v>
      </c>
    </row>
    <row r="112" spans="1:22" x14ac:dyDescent="0.3">
      <c r="A112" s="11">
        <f ca="1">'FALL 5'!A112</f>
        <v>24.222389089655788</v>
      </c>
      <c r="B112" s="11">
        <f ca="1">'FALL 5'!B112</f>
        <v>33.284811034336883</v>
      </c>
      <c r="C112" s="11">
        <f>'FALL 3'!C112</f>
        <v>39</v>
      </c>
      <c r="D112" s="11">
        <f ca="1">IF(C112=0,"",(B112*0.01*(B35)+K78))</f>
        <v>33.951962923993513</v>
      </c>
      <c r="E112" s="11"/>
      <c r="F112" s="11">
        <f ca="1">IF(D112="","",(D112*((D22-F36)/(99-0))+F36))</f>
        <v>17.475981461996756</v>
      </c>
      <c r="G112" s="11">
        <f t="shared" ca="1" si="19"/>
        <v>33.951962923993513</v>
      </c>
      <c r="H112" s="50" t="str">
        <f ca="1">IF(I176=C112,I112,"")</f>
        <v/>
      </c>
      <c r="I112" s="11">
        <f t="shared" ca="1" si="20"/>
        <v>17.5</v>
      </c>
      <c r="J112" s="11"/>
      <c r="K112" s="11"/>
      <c r="L112" s="11">
        <f ca="1">IF(D112="","",(L111+2*L185))</f>
        <v>19.864999999999995</v>
      </c>
      <c r="M112" s="11">
        <f t="shared" ca="1" si="21"/>
        <v>17.5</v>
      </c>
      <c r="N112" s="11">
        <f t="shared" ca="1" si="23"/>
        <v>306.25</v>
      </c>
      <c r="O112" s="11">
        <f ca="1">IF(D112="","",(L112*H39)+H38)</f>
        <v>38.72999999999999</v>
      </c>
      <c r="P112" s="11">
        <f t="shared" ca="1" si="24"/>
        <v>1500.0128999999993</v>
      </c>
      <c r="Q112" s="11">
        <f t="shared" ca="1" si="25"/>
        <v>677.77499999999986</v>
      </c>
      <c r="R112" s="11">
        <f t="shared" ca="1" si="26"/>
        <v>18</v>
      </c>
      <c r="S112" s="11">
        <f t="shared" ca="1" si="27"/>
        <v>324</v>
      </c>
      <c r="T112" s="11">
        <f t="shared" ca="1" si="29"/>
        <v>38.72999999999999</v>
      </c>
      <c r="U112" s="11">
        <f t="shared" ca="1" si="29"/>
        <v>1500.0128999999993</v>
      </c>
      <c r="V112" s="11">
        <f t="shared" ca="1" si="28"/>
        <v>697.13999999999987</v>
      </c>
    </row>
    <row r="113" spans="1:22" x14ac:dyDescent="0.3">
      <c r="A113" s="11">
        <f ca="1">'FALL 5'!A113</f>
        <v>22.988763705825928</v>
      </c>
      <c r="B113" s="11">
        <f ca="1">'FALL 5'!B113</f>
        <v>33.68582618215472</v>
      </c>
      <c r="C113" s="11">
        <f>'FALL 3'!C113</f>
        <v>40</v>
      </c>
      <c r="D113" s="11">
        <f ca="1">IF(C113=0,"",(B113*0.01*(B35)+K78))</f>
        <v>34.348967920333166</v>
      </c>
      <c r="E113" s="11"/>
      <c r="F113" s="11">
        <f ca="1">IF(D113="","",(D113*((D22-F36)/(99-0))+F36))</f>
        <v>17.674483960166583</v>
      </c>
      <c r="G113" s="11">
        <f t="shared" ca="1" si="19"/>
        <v>34.348967920333166</v>
      </c>
      <c r="H113" s="50" t="str">
        <f ca="1">IF(I176=C113,I113,"")</f>
        <v/>
      </c>
      <c r="I113" s="11">
        <f t="shared" ca="1" si="20"/>
        <v>17.7</v>
      </c>
      <c r="J113" s="11"/>
      <c r="K113" s="11"/>
      <c r="L113" s="11">
        <f ca="1">IF(D113="","",(L112+2*L185))</f>
        <v>20.354999999999993</v>
      </c>
      <c r="M113" s="11">
        <f t="shared" ca="1" si="21"/>
        <v>17.7</v>
      </c>
      <c r="N113" s="11">
        <f t="shared" ca="1" si="23"/>
        <v>313.28999999999996</v>
      </c>
      <c r="O113" s="11">
        <f ca="1">IF(D113="","",(L113*H39)+H38)</f>
        <v>39.709999999999987</v>
      </c>
      <c r="P113" s="11">
        <f t="shared" ca="1" si="24"/>
        <v>1576.8840999999989</v>
      </c>
      <c r="Q113" s="11">
        <f t="shared" ca="1" si="25"/>
        <v>702.86699999999973</v>
      </c>
      <c r="R113" s="11">
        <f t="shared" ca="1" si="26"/>
        <v>18</v>
      </c>
      <c r="S113" s="11">
        <f t="shared" ca="1" si="27"/>
        <v>324</v>
      </c>
      <c r="T113" s="11">
        <f t="shared" ca="1" si="29"/>
        <v>39.709999999999987</v>
      </c>
      <c r="U113" s="11">
        <f t="shared" ca="1" si="29"/>
        <v>1576.8840999999989</v>
      </c>
      <c r="V113" s="11">
        <f t="shared" ca="1" si="28"/>
        <v>714.77999999999975</v>
      </c>
    </row>
    <row r="114" spans="1:22" x14ac:dyDescent="0.3">
      <c r="A114" s="11">
        <f ca="1">'FALL 5'!A114</f>
        <v>33.284811034336883</v>
      </c>
      <c r="B114" s="11">
        <f ca="1">'FALL 5'!B114</f>
        <v>33.716555255162135</v>
      </c>
      <c r="C114" s="11">
        <f>'FALL 3'!C114</f>
        <v>41</v>
      </c>
      <c r="D114" s="11">
        <f ca="1">IF(C114=0,"",(B114*0.01*(B35)+K78))</f>
        <v>34.37938970261051</v>
      </c>
      <c r="E114" s="11"/>
      <c r="F114" s="11">
        <f ca="1">IF(D114="","",(D114*((D22-F36)/(99-0))+F36))</f>
        <v>17.689694851305255</v>
      </c>
      <c r="G114" s="11">
        <f t="shared" ca="1" si="19"/>
        <v>34.37938970261051</v>
      </c>
      <c r="H114" s="50" t="str">
        <f ca="1">IF(I176=C114,I114,"")</f>
        <v/>
      </c>
      <c r="I114" s="11">
        <f t="shared" ca="1" si="20"/>
        <v>17.7</v>
      </c>
      <c r="J114" s="11"/>
      <c r="K114" s="11"/>
      <c r="L114" s="11">
        <f ca="1">IF(D114="","",(L113+2*L185))</f>
        <v>20.844999999999992</v>
      </c>
      <c r="M114" s="11">
        <f t="shared" ca="1" si="21"/>
        <v>17.7</v>
      </c>
      <c r="N114" s="11">
        <f t="shared" ca="1" si="23"/>
        <v>313.28999999999996</v>
      </c>
      <c r="O114" s="11">
        <f ca="1">IF(D114="","",(L114*H39)+H38)</f>
        <v>40.689999999999984</v>
      </c>
      <c r="P114" s="11">
        <f t="shared" ca="1" si="24"/>
        <v>1655.6760999999988</v>
      </c>
      <c r="Q114" s="11">
        <f t="shared" ca="1" si="25"/>
        <v>720.21299999999962</v>
      </c>
      <c r="R114" s="11">
        <f t="shared" ca="1" si="26"/>
        <v>18</v>
      </c>
      <c r="S114" s="11">
        <f t="shared" ca="1" si="27"/>
        <v>324</v>
      </c>
      <c r="T114" s="11">
        <f t="shared" ca="1" si="29"/>
        <v>40.689999999999984</v>
      </c>
      <c r="U114" s="11">
        <f t="shared" ca="1" si="29"/>
        <v>1655.6760999999988</v>
      </c>
      <c r="V114" s="11">
        <f t="shared" ca="1" si="28"/>
        <v>732.41999999999973</v>
      </c>
    </row>
    <row r="115" spans="1:22" x14ac:dyDescent="0.3">
      <c r="A115" s="11">
        <f ca="1">'FALL 5'!A115</f>
        <v>42.64756325440645</v>
      </c>
      <c r="B115" s="11">
        <f ca="1">'FALL 5'!B115</f>
        <v>34.688641730273304</v>
      </c>
      <c r="C115" s="11">
        <f>'FALL 3'!C115</f>
        <v>42</v>
      </c>
      <c r="D115" s="11">
        <f ca="1">IF(C115=0,"",(B115*0.01*(B35)+K78))</f>
        <v>35.341755312970569</v>
      </c>
      <c r="E115" s="11"/>
      <c r="F115" s="11">
        <f ca="1">IF(D115="","",(D115*((D22-F36)/(99-0))+F36))</f>
        <v>18.170877656485285</v>
      </c>
      <c r="G115" s="11">
        <f t="shared" ca="1" si="19"/>
        <v>35.341755312970569</v>
      </c>
      <c r="H115" s="50" t="str">
        <f ca="1">IF(I176=C115,I115,"")</f>
        <v/>
      </c>
      <c r="I115" s="11">
        <f t="shared" ca="1" si="20"/>
        <v>18.2</v>
      </c>
      <c r="J115" s="11"/>
      <c r="K115" s="11"/>
      <c r="L115" s="11">
        <f ca="1">IF(D115="","",(L114+2*L185))</f>
        <v>21.33499999999999</v>
      </c>
      <c r="M115" s="11">
        <f t="shared" ca="1" si="21"/>
        <v>18.2</v>
      </c>
      <c r="N115" s="11">
        <f t="shared" ca="1" si="23"/>
        <v>331.23999999999995</v>
      </c>
      <c r="O115" s="11">
        <f ca="1">IF(D115="","",(L115*H39)+H38)</f>
        <v>41.66999999999998</v>
      </c>
      <c r="P115" s="11">
        <f t="shared" ca="1" si="24"/>
        <v>1736.3888999999983</v>
      </c>
      <c r="Q115" s="11">
        <f t="shared" ca="1" si="25"/>
        <v>758.39399999999966</v>
      </c>
      <c r="R115" s="11">
        <f t="shared" ca="1" si="26"/>
        <v>18</v>
      </c>
      <c r="S115" s="11">
        <f t="shared" ca="1" si="27"/>
        <v>324</v>
      </c>
      <c r="T115" s="11">
        <f t="shared" ca="1" si="29"/>
        <v>41.66999999999998</v>
      </c>
      <c r="U115" s="11">
        <f t="shared" ca="1" si="29"/>
        <v>1736.3888999999983</v>
      </c>
      <c r="V115" s="11">
        <f t="shared" ca="1" si="28"/>
        <v>750.0599999999996</v>
      </c>
    </row>
    <row r="116" spans="1:22" x14ac:dyDescent="0.3">
      <c r="A116" s="11">
        <f ca="1">'FALL 5'!A116</f>
        <v>6.0767745995305233</v>
      </c>
      <c r="B116" s="11">
        <f ca="1">'FALL 5'!B116</f>
        <v>38.485894582626536</v>
      </c>
      <c r="C116" s="11">
        <f>'FALL 3'!C116</f>
        <v>43</v>
      </c>
      <c r="D116" s="11">
        <f ca="1">IF(C116=0,"",(B116*0.01*(B35)+K78))</f>
        <v>39.101035636800262</v>
      </c>
      <c r="E116" s="11"/>
      <c r="F116" s="11">
        <f ca="1">IF(D116="","",(D116*((D22-F36)/(99-0))+F36))</f>
        <v>20.050517818400131</v>
      </c>
      <c r="G116" s="11">
        <f t="shared" ca="1" si="19"/>
        <v>39.101035636800262</v>
      </c>
      <c r="H116" s="50" t="str">
        <f ca="1">IF(I176=C116,I116,"")</f>
        <v/>
      </c>
      <c r="I116" s="11">
        <f t="shared" ca="1" si="20"/>
        <v>20.100000000000001</v>
      </c>
      <c r="J116" s="11"/>
      <c r="K116" s="11"/>
      <c r="L116" s="11">
        <f ca="1">IF(D116="","",(L115+2*L185))</f>
        <v>21.824999999999989</v>
      </c>
      <c r="M116" s="11">
        <f t="shared" ca="1" si="21"/>
        <v>20.100000000000001</v>
      </c>
      <c r="N116" s="11">
        <f t="shared" ca="1" si="23"/>
        <v>404.01000000000005</v>
      </c>
      <c r="O116" s="11">
        <f ca="1">IF(D116="","",(L116*H39)+H38)</f>
        <v>42.649999999999977</v>
      </c>
      <c r="P116" s="11">
        <f t="shared" ca="1" si="24"/>
        <v>1819.022499999998</v>
      </c>
      <c r="Q116" s="11">
        <f t="shared" ca="1" si="25"/>
        <v>857.26499999999965</v>
      </c>
      <c r="R116" s="11">
        <f t="shared" ca="1" si="26"/>
        <v>20</v>
      </c>
      <c r="S116" s="11">
        <f t="shared" ca="1" si="27"/>
        <v>400</v>
      </c>
      <c r="T116" s="11">
        <f t="shared" ca="1" si="29"/>
        <v>42.649999999999977</v>
      </c>
      <c r="U116" s="11">
        <f t="shared" ca="1" si="29"/>
        <v>1819.022499999998</v>
      </c>
      <c r="V116" s="11">
        <f t="shared" ca="1" si="28"/>
        <v>852.99999999999955</v>
      </c>
    </row>
    <row r="117" spans="1:22" x14ac:dyDescent="0.3">
      <c r="A117" s="11">
        <f ca="1">'FALL 5'!A117</f>
        <v>82.170865037115789</v>
      </c>
      <c r="B117" s="11">
        <f ca="1">'FALL 5'!B117</f>
        <v>40.248097189293503</v>
      </c>
      <c r="C117" s="11">
        <f>'FALL 3'!C117</f>
        <v>44</v>
      </c>
      <c r="D117" s="11">
        <f ca="1">IF(C117=0,"",(B117*0.01*(B35)+K78))</f>
        <v>40.845616217400561</v>
      </c>
      <c r="E117" s="11"/>
      <c r="F117" s="11">
        <f ca="1">IF(D117="","",(D117*((D22-F36)/(99-0))+F36))</f>
        <v>20.922808108700281</v>
      </c>
      <c r="G117" s="11">
        <f t="shared" ca="1" si="19"/>
        <v>40.845616217400561</v>
      </c>
      <c r="H117" s="50" t="str">
        <f ca="1">IF(I176=C117,I117,"")</f>
        <v/>
      </c>
      <c r="I117" s="11">
        <f t="shared" ca="1" si="20"/>
        <v>20.9</v>
      </c>
      <c r="J117" s="11"/>
      <c r="K117" s="11"/>
      <c r="L117" s="11">
        <f ca="1">IF(D117="","",(L116+2*L185))</f>
        <v>22.314999999999987</v>
      </c>
      <c r="M117" s="11">
        <f t="shared" ca="1" si="21"/>
        <v>20.9</v>
      </c>
      <c r="N117" s="11">
        <f t="shared" ca="1" si="23"/>
        <v>436.80999999999995</v>
      </c>
      <c r="O117" s="11">
        <f ca="1">IF(D117="","",(L117*H39)+H38)</f>
        <v>43.629999999999974</v>
      </c>
      <c r="P117" s="11">
        <f t="shared" ca="1" si="24"/>
        <v>1903.5768999999977</v>
      </c>
      <c r="Q117" s="11">
        <f t="shared" ca="1" si="25"/>
        <v>911.86699999999939</v>
      </c>
      <c r="R117" s="11">
        <f t="shared" ca="1" si="26"/>
        <v>21</v>
      </c>
      <c r="S117" s="11">
        <f t="shared" ca="1" si="27"/>
        <v>441</v>
      </c>
      <c r="T117" s="11">
        <f t="shared" ca="1" si="29"/>
        <v>43.629999999999974</v>
      </c>
      <c r="U117" s="11">
        <f t="shared" ca="1" si="29"/>
        <v>1903.5768999999977</v>
      </c>
      <c r="V117" s="11">
        <f t="shared" ca="1" si="28"/>
        <v>916.22999999999945</v>
      </c>
    </row>
    <row r="118" spans="1:22" x14ac:dyDescent="0.3">
      <c r="A118" s="11">
        <f ca="1">'FALL 5'!A118</f>
        <v>75.343875189459823</v>
      </c>
      <c r="B118" s="11">
        <f ca="1">'FALL 5'!B118</f>
        <v>40.887985740747538</v>
      </c>
      <c r="C118" s="11">
        <f>'FALL 3'!C118</f>
        <v>45</v>
      </c>
      <c r="D118" s="11">
        <f ca="1">IF(C118=0,"",(B118*0.01*(B35)+K78))</f>
        <v>41.479105883340061</v>
      </c>
      <c r="E118" s="11"/>
      <c r="F118" s="11">
        <f ca="1">IF(D118="","",(D118*((D22-F36)/(99-0))+F36))</f>
        <v>21.239552941670031</v>
      </c>
      <c r="G118" s="11">
        <f t="shared" ca="1" si="19"/>
        <v>41.479105883340061</v>
      </c>
      <c r="H118" s="50" t="str">
        <f ca="1">IF(I176=C118,I118,"")</f>
        <v/>
      </c>
      <c r="I118" s="11">
        <f t="shared" ca="1" si="20"/>
        <v>21.2</v>
      </c>
      <c r="J118" s="11"/>
      <c r="K118" s="11"/>
      <c r="L118" s="11">
        <f ca="1">IF(D118="","",(L117+2*L185))</f>
        <v>22.804999999999986</v>
      </c>
      <c r="M118" s="11">
        <f t="shared" ca="1" si="21"/>
        <v>21.2</v>
      </c>
      <c r="N118" s="11">
        <f t="shared" ca="1" si="23"/>
        <v>449.44</v>
      </c>
      <c r="O118" s="11">
        <f ca="1">IF(D118="","",(L118*H39)+H38)</f>
        <v>44.609999999999971</v>
      </c>
      <c r="P118" s="11">
        <f t="shared" ca="1" si="24"/>
        <v>1990.0520999999974</v>
      </c>
      <c r="Q118" s="11">
        <f t="shared" ca="1" si="25"/>
        <v>945.7319999999994</v>
      </c>
      <c r="R118" s="11">
        <f t="shared" ca="1" si="26"/>
        <v>21</v>
      </c>
      <c r="S118" s="11">
        <f t="shared" ca="1" si="27"/>
        <v>441</v>
      </c>
      <c r="T118" s="11">
        <f t="shared" ca="1" si="29"/>
        <v>44.609999999999971</v>
      </c>
      <c r="U118" s="11">
        <f t="shared" ca="1" si="29"/>
        <v>1990.0520999999974</v>
      </c>
      <c r="V118" s="11">
        <f t="shared" ca="1" si="28"/>
        <v>936.80999999999938</v>
      </c>
    </row>
    <row r="119" spans="1:22" x14ac:dyDescent="0.3">
      <c r="A119" s="11">
        <f ca="1">'FALL 5'!A119</f>
        <v>69.999571086914443</v>
      </c>
      <c r="B119" s="11">
        <f ca="1">'FALL 5'!B119</f>
        <v>41.943122432623468</v>
      </c>
      <c r="C119" s="11">
        <f>'FALL 3'!C119</f>
        <v>46</v>
      </c>
      <c r="D119" s="11">
        <f ca="1">IF(C119=0,"",(B119*0.01*(B35)+K78))</f>
        <v>42.52369120829723</v>
      </c>
      <c r="E119" s="11"/>
      <c r="F119" s="11">
        <f ca="1">IF(D119="","",(D119*((D22-F36)/(99-0))+F36))</f>
        <v>21.761845604148615</v>
      </c>
      <c r="G119" s="11">
        <f t="shared" ca="1" si="19"/>
        <v>42.52369120829723</v>
      </c>
      <c r="H119" s="50" t="str">
        <f ca="1">IF(I176=C119,I119,"")</f>
        <v/>
      </c>
      <c r="I119" s="11">
        <f t="shared" ca="1" si="20"/>
        <v>21.8</v>
      </c>
      <c r="J119" s="11"/>
      <c r="K119" s="11"/>
      <c r="L119" s="11">
        <f ca="1">IF(D119="","",(L118+2*L185))</f>
        <v>23.294999999999984</v>
      </c>
      <c r="M119" s="11">
        <f t="shared" ca="1" si="21"/>
        <v>21.8</v>
      </c>
      <c r="N119" s="11">
        <f t="shared" ca="1" si="23"/>
        <v>475.24</v>
      </c>
      <c r="O119" s="11">
        <f ca="1">IF(D119="","",(L119*H39)+H38)</f>
        <v>45.589999999999968</v>
      </c>
      <c r="P119" s="11">
        <f t="shared" ca="1" si="24"/>
        <v>2078.4480999999969</v>
      </c>
      <c r="Q119" s="11">
        <f t="shared" ca="1" si="25"/>
        <v>993.86199999999928</v>
      </c>
      <c r="R119" s="11">
        <f t="shared" ca="1" si="26"/>
        <v>22</v>
      </c>
      <c r="S119" s="11">
        <f t="shared" ca="1" si="27"/>
        <v>484</v>
      </c>
      <c r="T119" s="11">
        <f t="shared" ca="1" si="29"/>
        <v>45.589999999999968</v>
      </c>
      <c r="U119" s="11">
        <f t="shared" ca="1" si="29"/>
        <v>2078.4480999999969</v>
      </c>
      <c r="V119" s="11">
        <f t="shared" ca="1" si="28"/>
        <v>1002.9799999999993</v>
      </c>
    </row>
    <row r="120" spans="1:22" x14ac:dyDescent="0.3">
      <c r="A120" s="11">
        <f ca="1">'FALL 5'!A120</f>
        <v>46.519875010849667</v>
      </c>
      <c r="B120" s="11">
        <f ca="1">'FALL 5'!B120</f>
        <v>42.527251835919955</v>
      </c>
      <c r="C120" s="11">
        <f>'FALL 3'!C120</f>
        <v>47</v>
      </c>
      <c r="D120" s="11">
        <f ca="1">IF(C120=0,"",(B120*0.01*(B35)+K78))</f>
        <v>43.101979317560748</v>
      </c>
      <c r="E120" s="11"/>
      <c r="F120" s="11">
        <f ca="1">IF(D120="","",(D120*((D22-F36)/(99-0))+F36))</f>
        <v>22.050989658780374</v>
      </c>
      <c r="G120" s="11">
        <f t="shared" ca="1" si="19"/>
        <v>43.101979317560748</v>
      </c>
      <c r="H120" s="50" t="str">
        <f ca="1">IF(I176=C120,I120,"")</f>
        <v/>
      </c>
      <c r="I120" s="11">
        <f t="shared" ca="1" si="20"/>
        <v>22.1</v>
      </c>
      <c r="J120" s="11"/>
      <c r="K120" s="11"/>
      <c r="L120" s="11">
        <f ca="1">IF(D120="","",(L119+2*L185))</f>
        <v>23.784999999999982</v>
      </c>
      <c r="M120" s="11">
        <f t="shared" ca="1" si="21"/>
        <v>22.1</v>
      </c>
      <c r="N120" s="11">
        <f t="shared" ca="1" si="23"/>
        <v>488.41000000000008</v>
      </c>
      <c r="O120" s="11">
        <f ca="1">IF(D120="","",(L120*H39)+H38)</f>
        <v>46.569999999999965</v>
      </c>
      <c r="P120" s="11">
        <f t="shared" ca="1" si="24"/>
        <v>2168.7648999999969</v>
      </c>
      <c r="Q120" s="11">
        <f t="shared" ca="1" si="25"/>
        <v>1029.1969999999992</v>
      </c>
      <c r="R120" s="11">
        <f t="shared" ca="1" si="26"/>
        <v>22</v>
      </c>
      <c r="S120" s="11">
        <f t="shared" ca="1" si="27"/>
        <v>484</v>
      </c>
      <c r="T120" s="11">
        <f t="shared" ca="1" si="29"/>
        <v>46.569999999999965</v>
      </c>
      <c r="U120" s="11">
        <f t="shared" ca="1" si="29"/>
        <v>2168.7648999999969</v>
      </c>
      <c r="V120" s="11">
        <f t="shared" ca="1" si="28"/>
        <v>1024.5399999999993</v>
      </c>
    </row>
    <row r="121" spans="1:22" x14ac:dyDescent="0.3">
      <c r="A121" s="11">
        <f ca="1">'FALL 5'!A121</f>
        <v>19.165157236496931</v>
      </c>
      <c r="B121" s="11">
        <f ca="1">'FALL 5'!B121</f>
        <v>42.64756325440645</v>
      </c>
      <c r="C121" s="11">
        <f>'FALL 3'!C121</f>
        <v>48</v>
      </c>
      <c r="D121" s="11">
        <f ca="1">IF(C121=0,"",(B121*0.01*(B35)+K78))</f>
        <v>43.221087621862381</v>
      </c>
      <c r="E121" s="11"/>
      <c r="F121" s="11">
        <f ca="1">IF(D121="","",(D121*((D22-F36)/(99-0))+F36))</f>
        <v>22.11054381093119</v>
      </c>
      <c r="G121" s="11">
        <f t="shared" ca="1" si="19"/>
        <v>43.221087621862381</v>
      </c>
      <c r="H121" s="50" t="str">
        <f ca="1">IF(I176=C121,I121,"")</f>
        <v/>
      </c>
      <c r="I121" s="11">
        <f t="shared" ca="1" si="20"/>
        <v>22.1</v>
      </c>
      <c r="J121" s="11"/>
      <c r="K121" s="11"/>
      <c r="L121" s="11">
        <f ca="1">IF(D121="","",(L120+2*L185))</f>
        <v>24.274999999999981</v>
      </c>
      <c r="M121" s="11">
        <f t="shared" ca="1" si="21"/>
        <v>22.1</v>
      </c>
      <c r="N121" s="11">
        <f t="shared" ca="1" si="23"/>
        <v>488.41000000000008</v>
      </c>
      <c r="O121" s="11">
        <f ca="1">IF(D121="","",(L121*H39)+H38)</f>
        <v>47.549999999999962</v>
      </c>
      <c r="P121" s="11">
        <f t="shared" ca="1" si="24"/>
        <v>2261.0024999999964</v>
      </c>
      <c r="Q121" s="11">
        <f t="shared" ca="1" si="25"/>
        <v>1050.8549999999991</v>
      </c>
      <c r="R121" s="11">
        <f t="shared" ca="1" si="26"/>
        <v>22</v>
      </c>
      <c r="S121" s="11">
        <f t="shared" ca="1" si="27"/>
        <v>484</v>
      </c>
      <c r="T121" s="11">
        <f t="shared" ca="1" si="29"/>
        <v>47.549999999999962</v>
      </c>
      <c r="U121" s="11">
        <f t="shared" ca="1" si="29"/>
        <v>2261.0024999999964</v>
      </c>
      <c r="V121" s="11">
        <f t="shared" ca="1" si="28"/>
        <v>1046.0999999999992</v>
      </c>
    </row>
    <row r="122" spans="1:22" x14ac:dyDescent="0.3">
      <c r="A122" s="11">
        <f ca="1">'FALL 5'!A122</f>
        <v>47.174797672067406</v>
      </c>
      <c r="B122" s="11">
        <f ca="1">'FALL 5'!B122</f>
        <v>42.764662812604882</v>
      </c>
      <c r="C122" s="11">
        <f>'FALL 3'!C122</f>
        <v>49</v>
      </c>
      <c r="D122" s="11">
        <f ca="1">IF(C122=0,"",(B122*0.01*(B35)+K78))</f>
        <v>43.337016184478827</v>
      </c>
      <c r="E122" s="11"/>
      <c r="F122" s="11">
        <f ca="1">IF(D122="","",(D122*((D22-F36)/(99-0))+F36))</f>
        <v>22.168508092239414</v>
      </c>
      <c r="G122" s="11">
        <f t="shared" ca="1" si="19"/>
        <v>43.337016184478827</v>
      </c>
      <c r="H122" s="50" t="str">
        <f ca="1">IF(I176=C122,I122,"")</f>
        <v/>
      </c>
      <c r="I122" s="11">
        <f t="shared" ca="1" si="20"/>
        <v>22.2</v>
      </c>
      <c r="J122" s="11"/>
      <c r="K122" s="11"/>
      <c r="L122" s="11">
        <f ca="1">IF(D122="","",(L121+2*L185))</f>
        <v>24.764999999999979</v>
      </c>
      <c r="M122" s="11">
        <f t="shared" ca="1" si="21"/>
        <v>22.2</v>
      </c>
      <c r="N122" s="11">
        <f t="shared" ca="1" si="23"/>
        <v>492.84</v>
      </c>
      <c r="O122" s="11">
        <f ca="1">IF(D122="","",(L122*H39)+H38)</f>
        <v>48.529999999999959</v>
      </c>
      <c r="P122" s="11">
        <f t="shared" ca="1" si="24"/>
        <v>2355.1608999999958</v>
      </c>
      <c r="Q122" s="11">
        <f t="shared" ca="1" si="25"/>
        <v>1077.3659999999991</v>
      </c>
      <c r="R122" s="11">
        <f t="shared" ca="1" si="26"/>
        <v>22</v>
      </c>
      <c r="S122" s="11">
        <f t="shared" ca="1" si="27"/>
        <v>484</v>
      </c>
      <c r="T122" s="11">
        <f t="shared" ca="1" si="29"/>
        <v>48.529999999999959</v>
      </c>
      <c r="U122" s="11">
        <f t="shared" ca="1" si="29"/>
        <v>2355.1608999999958</v>
      </c>
      <c r="V122" s="11">
        <f t="shared" ca="1" si="28"/>
        <v>1067.6599999999992</v>
      </c>
    </row>
    <row r="123" spans="1:22" x14ac:dyDescent="0.3">
      <c r="A123" s="11">
        <f ca="1">'FALL 5'!A123</f>
        <v>5.7089520016855859</v>
      </c>
      <c r="B123" s="11">
        <f ca="1">'FALL 5'!B123</f>
        <v>45.096774778301601</v>
      </c>
      <c r="C123" s="11">
        <f>'FALL 3'!C123</f>
        <v>50</v>
      </c>
      <c r="D123" s="11">
        <f ca="1">IF(C123=0,"",(B123*0.01*(B35)+K78))</f>
        <v>45.645807030518576</v>
      </c>
      <c r="E123" s="11"/>
      <c r="F123" s="11">
        <f ca="1">IF(D123="","",(D123*((D22-F36)/(99-0))+F36))</f>
        <v>23.322903515259288</v>
      </c>
      <c r="G123" s="11">
        <f t="shared" ca="1" si="19"/>
        <v>45.645807030518576</v>
      </c>
      <c r="H123" s="50" t="str">
        <f ca="1">IF(I176=C123,I123,"")</f>
        <v/>
      </c>
      <c r="I123" s="11">
        <f t="shared" ca="1" si="20"/>
        <v>23.3</v>
      </c>
      <c r="J123" s="11"/>
      <c r="K123" s="11"/>
      <c r="L123" s="11">
        <f ca="1">IF(D123="","",(L122+2*L185))</f>
        <v>25.254999999999978</v>
      </c>
      <c r="M123" s="11">
        <f t="shared" ca="1" si="21"/>
        <v>23.3</v>
      </c>
      <c r="N123" s="11">
        <f t="shared" ca="1" si="23"/>
        <v>542.89</v>
      </c>
      <c r="O123" s="11">
        <f ca="1">IF(D123="","",(L123*H39)+H38)</f>
        <v>49.509999999999955</v>
      </c>
      <c r="P123" s="11">
        <f t="shared" ca="1" si="24"/>
        <v>2451.2400999999954</v>
      </c>
      <c r="Q123" s="11">
        <f t="shared" ca="1" si="25"/>
        <v>1153.5829999999989</v>
      </c>
      <c r="R123" s="11">
        <f t="shared" ca="1" si="26"/>
        <v>23</v>
      </c>
      <c r="S123" s="11">
        <f t="shared" ca="1" si="27"/>
        <v>529</v>
      </c>
      <c r="T123" s="11">
        <f t="shared" ca="1" si="29"/>
        <v>49.509999999999955</v>
      </c>
      <c r="U123" s="11">
        <f t="shared" ca="1" si="29"/>
        <v>2451.2400999999954</v>
      </c>
      <c r="V123" s="11">
        <f t="shared" ca="1" si="28"/>
        <v>1138.7299999999989</v>
      </c>
    </row>
    <row r="124" spans="1:22" x14ac:dyDescent="0.3">
      <c r="A124" s="11">
        <f ca="1">'FALL 5'!A124</f>
        <v>82.996098998149179</v>
      </c>
      <c r="B124" s="11">
        <f ca="1">'FALL 5'!B124</f>
        <v>45.131435825901526</v>
      </c>
      <c r="C124" s="11">
        <f>'FALL 3'!C124</f>
        <v>51</v>
      </c>
      <c r="D124" s="11">
        <f ca="1">IF(C124=0,"",(B124*0.01*(B35)+K78))</f>
        <v>45.680121467642508</v>
      </c>
      <c r="E124" s="11"/>
      <c r="F124" s="11">
        <f ca="1">IF(D124="","",(D124*((D22-F36)/(99-0))+F36))</f>
        <v>23.340060733821254</v>
      </c>
      <c r="G124" s="11">
        <f t="shared" ca="1" si="19"/>
        <v>45.680121467642508</v>
      </c>
      <c r="H124" s="50" t="str">
        <f ca="1">IF(I176=C124,I124,"")</f>
        <v/>
      </c>
      <c r="I124" s="11">
        <f t="shared" ca="1" si="20"/>
        <v>23.3</v>
      </c>
      <c r="J124" s="11"/>
      <c r="K124" s="11"/>
      <c r="L124" s="11">
        <f ca="1">IF(D124="","",(L123+2*L185))</f>
        <v>25.744999999999976</v>
      </c>
      <c r="M124" s="11">
        <f t="shared" ca="1" si="21"/>
        <v>23.3</v>
      </c>
      <c r="N124" s="11">
        <f t="shared" ca="1" si="23"/>
        <v>542.89</v>
      </c>
      <c r="O124" s="11">
        <f ca="1">IF(D124="","",(L124*H39)+H38)</f>
        <v>50.489999999999952</v>
      </c>
      <c r="P124" s="11">
        <f t="shared" ca="1" si="24"/>
        <v>2549.240099999995</v>
      </c>
      <c r="Q124" s="11">
        <f t="shared" ca="1" si="25"/>
        <v>1176.416999999999</v>
      </c>
      <c r="R124" s="11">
        <f t="shared" ca="1" si="26"/>
        <v>23</v>
      </c>
      <c r="S124" s="11">
        <f t="shared" ca="1" si="27"/>
        <v>529</v>
      </c>
      <c r="T124" s="11">
        <f t="shared" ca="1" si="29"/>
        <v>50.489999999999952</v>
      </c>
      <c r="U124" s="11">
        <f t="shared" ca="1" si="29"/>
        <v>2549.240099999995</v>
      </c>
      <c r="V124" s="11">
        <f t="shared" ca="1" si="28"/>
        <v>1161.2699999999988</v>
      </c>
    </row>
    <row r="125" spans="1:22" x14ac:dyDescent="0.3">
      <c r="A125" s="11">
        <f ca="1">'FALL 5'!A125</f>
        <v>77.294214300749587</v>
      </c>
      <c r="B125" s="11">
        <f ca="1">'FALL 5'!B125</f>
        <v>45.47883392341403</v>
      </c>
      <c r="C125" s="11">
        <f>'FALL 3'!C125</f>
        <v>52</v>
      </c>
      <c r="D125" s="11">
        <f ca="1">IF(C125=0,"",(B125*0.01*(B35)+K78))</f>
        <v>46.024045584179881</v>
      </c>
      <c r="E125" s="11"/>
      <c r="F125" s="11">
        <f ca="1">IF(D125="","",(D125*((D22-F36)/(99-0))+F36))</f>
        <v>23.51202279208994</v>
      </c>
      <c r="G125" s="11">
        <f t="shared" ca="1" si="19"/>
        <v>46.024045584179881</v>
      </c>
      <c r="H125" s="50" t="str">
        <f ca="1">IF(I176=C125,I125,"")</f>
        <v/>
      </c>
      <c r="I125" s="11">
        <f t="shared" ca="1" si="20"/>
        <v>23.5</v>
      </c>
      <c r="J125" s="11"/>
      <c r="K125" s="11"/>
      <c r="L125" s="11">
        <f ca="1">IF(D125="","",(L124+2*L185))</f>
        <v>26.234999999999975</v>
      </c>
      <c r="M125" s="11">
        <f t="shared" ca="1" si="21"/>
        <v>23.5</v>
      </c>
      <c r="N125" s="11">
        <f t="shared" ca="1" si="23"/>
        <v>552.25</v>
      </c>
      <c r="O125" s="11">
        <f ca="1">IF(D125="","",(L125*H39)+H38)</f>
        <v>51.469999999999949</v>
      </c>
      <c r="P125" s="11">
        <f t="shared" ca="1" si="24"/>
        <v>2649.1608999999949</v>
      </c>
      <c r="Q125" s="11">
        <f t="shared" ca="1" si="25"/>
        <v>1209.5449999999987</v>
      </c>
      <c r="R125" s="11">
        <f t="shared" ca="1" si="26"/>
        <v>24</v>
      </c>
      <c r="S125" s="11">
        <f t="shared" ca="1" si="27"/>
        <v>576</v>
      </c>
      <c r="T125" s="11">
        <f t="shared" ca="1" si="29"/>
        <v>51.469999999999949</v>
      </c>
      <c r="U125" s="11">
        <f t="shared" ca="1" si="29"/>
        <v>2649.1608999999949</v>
      </c>
      <c r="V125" s="11">
        <f t="shared" ca="1" si="28"/>
        <v>1235.2799999999988</v>
      </c>
    </row>
    <row r="126" spans="1:22" x14ac:dyDescent="0.3">
      <c r="A126" s="11">
        <f ca="1">'FALL 5'!A126</f>
        <v>2.3210931377733552</v>
      </c>
      <c r="B126" s="11">
        <f ca="1">'FALL 5'!B126</f>
        <v>45.645021212545792</v>
      </c>
      <c r="C126" s="11">
        <f>'FALL 3'!C126</f>
        <v>53</v>
      </c>
      <c r="D126" s="11">
        <f ca="1">IF(C126=0,"",(B126*0.01*(B35)+K78))</f>
        <v>46.188571000420332</v>
      </c>
      <c r="E126" s="11"/>
      <c r="F126" s="11">
        <f ca="1">IF(D126="","",(D126*((D22-F36)/(99-0))+F36))</f>
        <v>23.594285500210166</v>
      </c>
      <c r="G126" s="11">
        <f t="shared" ca="1" si="19"/>
        <v>46.188571000420332</v>
      </c>
      <c r="H126" s="50" t="str">
        <f ca="1">IF(I176=C126,I126,"")</f>
        <v/>
      </c>
      <c r="I126" s="11">
        <f t="shared" ca="1" si="20"/>
        <v>23.6</v>
      </c>
      <c r="J126" s="11"/>
      <c r="K126" s="11"/>
      <c r="L126" s="11">
        <f ca="1">IF(D126="","",(L125+2*L185))</f>
        <v>26.724999999999973</v>
      </c>
      <c r="M126" s="11">
        <f t="shared" ca="1" si="21"/>
        <v>23.6</v>
      </c>
      <c r="N126" s="11">
        <f t="shared" ca="1" si="23"/>
        <v>556.96</v>
      </c>
      <c r="O126" s="11">
        <f ca="1">IF(D126="","",(L126*H39)+H38)</f>
        <v>52.449999999999946</v>
      </c>
      <c r="P126" s="11">
        <f t="shared" ca="1" si="24"/>
        <v>2751.0024999999941</v>
      </c>
      <c r="Q126" s="11">
        <f t="shared" ca="1" si="25"/>
        <v>1237.8199999999988</v>
      </c>
      <c r="R126" s="11">
        <f t="shared" ca="1" si="26"/>
        <v>24</v>
      </c>
      <c r="S126" s="11">
        <f t="shared" ca="1" si="27"/>
        <v>576</v>
      </c>
      <c r="T126" s="11">
        <f t="shared" ca="1" si="29"/>
        <v>52.449999999999946</v>
      </c>
      <c r="U126" s="11">
        <f t="shared" ca="1" si="29"/>
        <v>2751.0024999999941</v>
      </c>
      <c r="V126" s="11">
        <f t="shared" ca="1" si="28"/>
        <v>1258.7999999999988</v>
      </c>
    </row>
    <row r="127" spans="1:22" x14ac:dyDescent="0.3">
      <c r="A127" s="11">
        <f ca="1">'FALL 5'!A127</f>
        <v>22.66610817703523</v>
      </c>
      <c r="B127" s="11">
        <f ca="1">'FALL 5'!B127</f>
        <v>46.064691747729199</v>
      </c>
      <c r="C127" s="11">
        <f>'FALL 3'!C127</f>
        <v>54</v>
      </c>
      <c r="D127" s="11">
        <f ca="1">IF(C127=0,"",(B127*0.01*(B35)+K78))</f>
        <v>46.604044830251901</v>
      </c>
      <c r="E127" s="11"/>
      <c r="F127" s="11">
        <f ca="1">IF(D127="","",(D127*((D22-F36)/(99-0))+F36))</f>
        <v>23.802022415125951</v>
      </c>
      <c r="G127" s="11">
        <f t="shared" ca="1" si="19"/>
        <v>46.604044830251901</v>
      </c>
      <c r="H127" s="50" t="str">
        <f ca="1">IF(I176=C127,I127,"")</f>
        <v/>
      </c>
      <c r="I127" s="11">
        <f t="shared" ca="1" si="20"/>
        <v>23.8</v>
      </c>
      <c r="J127" s="11"/>
      <c r="K127" s="11"/>
      <c r="L127" s="11">
        <f ca="1">IF(D127="","",(L126+2*L185))</f>
        <v>27.214999999999971</v>
      </c>
      <c r="M127" s="11">
        <f t="shared" ca="1" si="21"/>
        <v>23.8</v>
      </c>
      <c r="N127" s="11">
        <f t="shared" ca="1" si="23"/>
        <v>566.44000000000005</v>
      </c>
      <c r="O127" s="11">
        <f ca="1">IF(D127="","",(L127*H39)+H38)</f>
        <v>53.429999999999943</v>
      </c>
      <c r="P127" s="11">
        <f t="shared" ca="1" si="24"/>
        <v>2854.7648999999938</v>
      </c>
      <c r="Q127" s="11">
        <f t="shared" ca="1" si="25"/>
        <v>1271.6339999999987</v>
      </c>
      <c r="R127" s="11">
        <f t="shared" ca="1" si="26"/>
        <v>24</v>
      </c>
      <c r="S127" s="11">
        <f t="shared" ca="1" si="27"/>
        <v>576</v>
      </c>
      <c r="T127" s="11">
        <f t="shared" ca="1" si="29"/>
        <v>53.429999999999943</v>
      </c>
      <c r="U127" s="11">
        <f t="shared" ca="1" si="29"/>
        <v>2854.7648999999938</v>
      </c>
      <c r="V127" s="11">
        <f t="shared" ca="1" si="28"/>
        <v>1282.3199999999986</v>
      </c>
    </row>
    <row r="128" spans="1:22" x14ac:dyDescent="0.3">
      <c r="A128" s="11">
        <f ca="1">'FALL 5'!A128</f>
        <v>64.209943240490091</v>
      </c>
      <c r="B128" s="11">
        <f ca="1">'FALL 5'!B128</f>
        <v>46.519875010849667</v>
      </c>
      <c r="C128" s="11">
        <f>'FALL 3'!C128</f>
        <v>55</v>
      </c>
      <c r="D128" s="11">
        <f ca="1">IF(C128=0,"",(B128*0.01*(B35)+K78))</f>
        <v>47.054676260741161</v>
      </c>
      <c r="E128" s="11"/>
      <c r="F128" s="11">
        <f ca="1">IF(D128="","",(D128*((D22-F36)/(99-0))+F36))</f>
        <v>24.02733813037058</v>
      </c>
      <c r="G128" s="11">
        <f t="shared" ca="1" si="19"/>
        <v>47.054676260741161</v>
      </c>
      <c r="H128" s="50" t="str">
        <f ca="1">IF(I176=C128,I128,"")</f>
        <v/>
      </c>
      <c r="I128" s="11">
        <f t="shared" ca="1" si="20"/>
        <v>24</v>
      </c>
      <c r="J128" s="11"/>
      <c r="K128" s="11"/>
      <c r="L128" s="11">
        <f ca="1">IF(D128="","",(L127+2*L185))</f>
        <v>27.70499999999997</v>
      </c>
      <c r="M128" s="11">
        <f t="shared" ca="1" si="21"/>
        <v>24</v>
      </c>
      <c r="N128" s="11">
        <f t="shared" ca="1" si="23"/>
        <v>576</v>
      </c>
      <c r="O128" s="11">
        <f ca="1">IF(D128="","",(L128*H39)+H38)</f>
        <v>54.40999999999994</v>
      </c>
      <c r="P128" s="11">
        <f t="shared" ca="1" si="24"/>
        <v>2960.4480999999932</v>
      </c>
      <c r="Q128" s="11">
        <f t="shared" ca="1" si="25"/>
        <v>1305.8399999999986</v>
      </c>
      <c r="R128" s="11">
        <f t="shared" ca="1" si="26"/>
        <v>24</v>
      </c>
      <c r="S128" s="11">
        <f t="shared" ca="1" si="27"/>
        <v>576</v>
      </c>
      <c r="T128" s="11">
        <f t="shared" ca="1" si="29"/>
        <v>54.40999999999994</v>
      </c>
      <c r="U128" s="11">
        <f t="shared" ca="1" si="29"/>
        <v>2960.4480999999932</v>
      </c>
      <c r="V128" s="11">
        <f t="shared" ca="1" si="28"/>
        <v>1305.8399999999986</v>
      </c>
    </row>
    <row r="129" spans="1:22" x14ac:dyDescent="0.3">
      <c r="A129" s="11">
        <f ca="1">'FALL 5'!A129</f>
        <v>41.943122432623468</v>
      </c>
      <c r="B129" s="11">
        <f ca="1">'FALL 5'!B129</f>
        <v>47.174797672067406</v>
      </c>
      <c r="C129" s="11">
        <f>'FALL 3'!C129</f>
        <v>56</v>
      </c>
      <c r="D129" s="11">
        <f ca="1">IF(C129=0,"",(B129*0.01*(B35)+K78))</f>
        <v>47.703049695346728</v>
      </c>
      <c r="E129" s="11"/>
      <c r="F129" s="11">
        <f ca="1">IF(D129="","",(D129*((D22-F36)/(99-0))+F36))</f>
        <v>24.351524847673364</v>
      </c>
      <c r="G129" s="11">
        <f t="shared" ca="1" si="19"/>
        <v>47.703049695346728</v>
      </c>
      <c r="H129" s="50" t="str">
        <f ca="1">IF(I176=C129,I129,"")</f>
        <v/>
      </c>
      <c r="I129" s="11">
        <f t="shared" ca="1" si="20"/>
        <v>24.4</v>
      </c>
      <c r="J129" s="11"/>
      <c r="K129" s="11"/>
      <c r="L129" s="11">
        <f ca="1">IF(D129="","",(L128+2*L185))</f>
        <v>28.194999999999968</v>
      </c>
      <c r="M129" s="11">
        <f t="shared" ca="1" si="21"/>
        <v>24.4</v>
      </c>
      <c r="N129" s="11">
        <f t="shared" ca="1" si="23"/>
        <v>595.3599999999999</v>
      </c>
      <c r="O129" s="11">
        <f ca="1">IF(D129="","",(L129*H39)+H38)</f>
        <v>55.389999999999937</v>
      </c>
      <c r="P129" s="11">
        <f t="shared" ca="1" si="24"/>
        <v>3068.0520999999931</v>
      </c>
      <c r="Q129" s="11">
        <f t="shared" ca="1" si="25"/>
        <v>1351.5159999999985</v>
      </c>
      <c r="R129" s="11">
        <f t="shared" ca="1" si="26"/>
        <v>24</v>
      </c>
      <c r="S129" s="11">
        <f t="shared" ca="1" si="27"/>
        <v>576</v>
      </c>
      <c r="T129" s="11">
        <f t="shared" ca="1" si="29"/>
        <v>55.389999999999937</v>
      </c>
      <c r="U129" s="11">
        <f t="shared" ca="1" si="29"/>
        <v>3068.0520999999931</v>
      </c>
      <c r="V129" s="11">
        <f t="shared" ca="1" si="28"/>
        <v>1329.3599999999985</v>
      </c>
    </row>
    <row r="130" spans="1:22" x14ac:dyDescent="0.3">
      <c r="A130" s="11">
        <f ca="1">'FALL 5'!A130</f>
        <v>48.024743567904558</v>
      </c>
      <c r="B130" s="11">
        <f ca="1">'FALL 5'!B130</f>
        <v>48.024743567904558</v>
      </c>
      <c r="C130" s="11">
        <f>'FALL 3'!C130</f>
        <v>57</v>
      </c>
      <c r="D130" s="11">
        <f ca="1">IF(C130=0,"",(B130*0.01*(B35)+K78))</f>
        <v>48.544496132225504</v>
      </c>
      <c r="E130" s="11"/>
      <c r="F130" s="11">
        <f ca="1">IF(D130="","",(D130*((D22-F36)/(99-0))+F36))</f>
        <v>24.772248066112752</v>
      </c>
      <c r="G130" s="11">
        <f t="shared" ca="1" si="19"/>
        <v>48.544496132225504</v>
      </c>
      <c r="H130" s="50" t="str">
        <f ca="1">IF(I176=C130,I130,"")</f>
        <v/>
      </c>
      <c r="I130" s="11">
        <f t="shared" ca="1" si="20"/>
        <v>24.8</v>
      </c>
      <c r="J130" s="11"/>
      <c r="K130" s="11"/>
      <c r="L130" s="11">
        <f ca="1">IF(D130="","",(L129+2*L185))</f>
        <v>28.684999999999967</v>
      </c>
      <c r="M130" s="11">
        <f t="shared" ca="1" si="21"/>
        <v>24.8</v>
      </c>
      <c r="N130" s="11">
        <f t="shared" ca="1" si="23"/>
        <v>615.04000000000008</v>
      </c>
      <c r="O130" s="11">
        <f ca="1">IF(D130="","",(L130*H39)+H38)</f>
        <v>56.369999999999933</v>
      </c>
      <c r="P130" s="11">
        <f t="shared" ca="1" si="24"/>
        <v>3177.5768999999923</v>
      </c>
      <c r="Q130" s="11">
        <f t="shared" ca="1" si="25"/>
        <v>1397.9759999999983</v>
      </c>
      <c r="R130" s="11">
        <f t="shared" ca="1" si="26"/>
        <v>25</v>
      </c>
      <c r="S130" s="11">
        <f t="shared" ca="1" si="27"/>
        <v>625</v>
      </c>
      <c r="T130" s="11">
        <f t="shared" ca="1" si="29"/>
        <v>56.369999999999933</v>
      </c>
      <c r="U130" s="11">
        <f t="shared" ca="1" si="29"/>
        <v>3177.5768999999923</v>
      </c>
      <c r="V130" s="11">
        <f t="shared" ca="1" si="28"/>
        <v>1409.2499999999984</v>
      </c>
    </row>
    <row r="131" spans="1:22" x14ac:dyDescent="0.3">
      <c r="A131" s="11">
        <f ca="1">'FALL 5'!A131</f>
        <v>57.057053405632232</v>
      </c>
      <c r="B131" s="11">
        <f ca="1">'FALL 5'!B131</f>
        <v>49.691148443190642</v>
      </c>
      <c r="C131" s="11">
        <f>'FALL 3'!C131</f>
        <v>58</v>
      </c>
      <c r="D131" s="11">
        <f ca="1">IF(C131=0,"",(B131*0.01*(B35)+K78))</f>
        <v>50.194236958758729</v>
      </c>
      <c r="E131" s="11"/>
      <c r="F131" s="11">
        <f ca="1">IF(D131="","",(D131*((D22-F36)/(99-0))+F36))</f>
        <v>25.597118479379365</v>
      </c>
      <c r="G131" s="11">
        <f t="shared" ca="1" si="19"/>
        <v>50.194236958758729</v>
      </c>
      <c r="H131" s="50" t="str">
        <f ca="1">IF(I176=C131,I131,"")</f>
        <v/>
      </c>
      <c r="I131" s="11">
        <f t="shared" ca="1" si="20"/>
        <v>25.6</v>
      </c>
      <c r="J131" s="11"/>
      <c r="K131" s="11"/>
      <c r="L131" s="11">
        <f ca="1">IF(D131="","",(L130+2*L185))</f>
        <v>29.174999999999965</v>
      </c>
      <c r="M131" s="11">
        <f t="shared" ca="1" si="21"/>
        <v>25.6</v>
      </c>
      <c r="N131" s="11">
        <f t="shared" ca="1" si="23"/>
        <v>655.36000000000013</v>
      </c>
      <c r="O131" s="11">
        <f ca="1">IF(D131="","",(L131*H39)+H38)</f>
        <v>57.34999999999993</v>
      </c>
      <c r="P131" s="11">
        <f t="shared" ca="1" si="24"/>
        <v>3289.0224999999919</v>
      </c>
      <c r="Q131" s="11">
        <f t="shared" ca="1" si="25"/>
        <v>1468.1599999999983</v>
      </c>
      <c r="R131" s="11">
        <f t="shared" ca="1" si="26"/>
        <v>26</v>
      </c>
      <c r="S131" s="11">
        <f t="shared" ca="1" si="27"/>
        <v>676</v>
      </c>
      <c r="T131" s="11">
        <f t="shared" ca="1" si="29"/>
        <v>57.34999999999993</v>
      </c>
      <c r="U131" s="11">
        <f t="shared" ca="1" si="29"/>
        <v>3289.0224999999919</v>
      </c>
      <c r="V131" s="11">
        <f t="shared" ca="1" si="28"/>
        <v>1491.0999999999981</v>
      </c>
    </row>
    <row r="132" spans="1:22" x14ac:dyDescent="0.3">
      <c r="A132" s="11">
        <f ca="1">'FALL 5'!A132</f>
        <v>57.963653871992953</v>
      </c>
      <c r="B132" s="11">
        <f ca="1">'FALL 5'!B132</f>
        <v>49.839586191156599</v>
      </c>
      <c r="C132" s="11">
        <f>'FALL 3'!C132</f>
        <v>59</v>
      </c>
      <c r="D132" s="11">
        <f ca="1">IF(C132=0,"",(B132*0.01*(B35)+K78))</f>
        <v>50.341190329245023</v>
      </c>
      <c r="E132" s="11"/>
      <c r="F132" s="11">
        <f ca="1">IF(D132="","",(D132*((D22-F36)/(99-0))+F36))</f>
        <v>25.670595164622512</v>
      </c>
      <c r="G132" s="11">
        <f t="shared" ca="1" si="19"/>
        <v>50.341190329245023</v>
      </c>
      <c r="H132" s="50" t="str">
        <f ca="1">IF(I176=C132,I132,"")</f>
        <v/>
      </c>
      <c r="I132" s="11">
        <f t="shared" ca="1" si="20"/>
        <v>25.7</v>
      </c>
      <c r="J132" s="11"/>
      <c r="K132" s="11"/>
      <c r="L132" s="11">
        <f ca="1">IF(D132="","",(L131+2*L185))</f>
        <v>29.664999999999964</v>
      </c>
      <c r="M132" s="11">
        <f t="shared" ca="1" si="21"/>
        <v>25.7</v>
      </c>
      <c r="N132" s="11">
        <f t="shared" ca="1" si="23"/>
        <v>660.49</v>
      </c>
      <c r="O132" s="11">
        <f ca="1">IF(D132="","",(L132*H39)+H38)</f>
        <v>58.329999999999927</v>
      </c>
      <c r="P132" s="11">
        <f t="shared" ca="1" si="24"/>
        <v>3402.3888999999917</v>
      </c>
      <c r="Q132" s="11">
        <f t="shared" ca="1" si="25"/>
        <v>1499.0809999999981</v>
      </c>
      <c r="R132" s="11">
        <f t="shared" ca="1" si="26"/>
        <v>26</v>
      </c>
      <c r="S132" s="11">
        <f t="shared" ca="1" si="27"/>
        <v>676</v>
      </c>
      <c r="T132" s="11">
        <f t="shared" ca="1" si="29"/>
        <v>58.329999999999927</v>
      </c>
      <c r="U132" s="11">
        <f t="shared" ca="1" si="29"/>
        <v>3402.3888999999917</v>
      </c>
      <c r="V132" s="11">
        <f t="shared" ca="1" si="28"/>
        <v>1516.5799999999981</v>
      </c>
    </row>
    <row r="133" spans="1:22" x14ac:dyDescent="0.3">
      <c r="A133" s="11">
        <f ca="1">'FALL 5'!A133</f>
        <v>49.839586191156599</v>
      </c>
      <c r="B133" s="11">
        <f ca="1">'FALL 5'!B133</f>
        <v>50.172602681297342</v>
      </c>
      <c r="C133" s="11">
        <f>'FALL 3'!C133</f>
        <v>60</v>
      </c>
      <c r="D133" s="11">
        <f ca="1">IF(C133=0,"",(B133*0.01*(B35)+K78))</f>
        <v>50.67087665448436</v>
      </c>
      <c r="E133" s="11"/>
      <c r="F133" s="11">
        <f ca="1">IF(D133="","",(D133*((D22-F36)/(99-0))+F36))</f>
        <v>25.83543832724218</v>
      </c>
      <c r="G133" s="11">
        <f t="shared" ca="1" si="19"/>
        <v>50.67087665448436</v>
      </c>
      <c r="H133" s="50" t="str">
        <f ca="1">IF(I176=C133,I133,"")</f>
        <v/>
      </c>
      <c r="I133" s="11">
        <f t="shared" ca="1" si="20"/>
        <v>25.8</v>
      </c>
      <c r="J133" s="11"/>
      <c r="K133" s="11"/>
      <c r="L133" s="11">
        <f ca="1">IF(D133="","",(L132+2*L185))</f>
        <v>30.154999999999962</v>
      </c>
      <c r="M133" s="11">
        <f t="shared" ca="1" si="21"/>
        <v>25.8</v>
      </c>
      <c r="N133" s="11">
        <f t="shared" ca="1" si="23"/>
        <v>665.64</v>
      </c>
      <c r="O133" s="11">
        <f ca="1">IF(D133="","",(L133*H39)+H38)</f>
        <v>59.309999999999924</v>
      </c>
      <c r="P133" s="11">
        <f t="shared" ca="1" si="24"/>
        <v>3517.676099999991</v>
      </c>
      <c r="Q133" s="11">
        <f t="shared" ca="1" si="25"/>
        <v>1530.197999999998</v>
      </c>
      <c r="R133" s="11">
        <f t="shared" ca="1" si="26"/>
        <v>26</v>
      </c>
      <c r="S133" s="11">
        <f t="shared" ca="1" si="27"/>
        <v>676</v>
      </c>
      <c r="T133" s="11">
        <f t="shared" ca="1" si="29"/>
        <v>59.309999999999924</v>
      </c>
      <c r="U133" s="11">
        <f t="shared" ca="1" si="29"/>
        <v>3517.676099999991</v>
      </c>
      <c r="V133" s="11">
        <f t="shared" ca="1" si="28"/>
        <v>1542.0599999999981</v>
      </c>
    </row>
    <row r="134" spans="1:22" x14ac:dyDescent="0.3">
      <c r="A134" s="11">
        <f ca="1">'FALL 5'!A134</f>
        <v>10.53043649250084</v>
      </c>
      <c r="B134" s="11">
        <f ca="1">'FALL 5'!B134</f>
        <v>54.990009558994942</v>
      </c>
      <c r="C134" s="11">
        <f>'FALL 3'!C134</f>
        <v>61</v>
      </c>
      <c r="D134" s="11">
        <f ca="1">IF(C134=0,"",(B134*0.01*(B35)+K78))</f>
        <v>55.440109463404987</v>
      </c>
      <c r="E134" s="11"/>
      <c r="F134" s="11">
        <f ca="1">IF(D134="","",(D134*((D22-F36)/(99-0))+F36))</f>
        <v>28.220054731702493</v>
      </c>
      <c r="G134" s="11">
        <f t="shared" ca="1" si="19"/>
        <v>55.440109463404987</v>
      </c>
      <c r="H134" s="50" t="str">
        <f ca="1">IF(I176=C134,I134,"")</f>
        <v/>
      </c>
      <c r="I134" s="11">
        <f t="shared" ca="1" si="20"/>
        <v>28.2</v>
      </c>
      <c r="J134" s="11"/>
      <c r="K134" s="11"/>
      <c r="L134" s="11">
        <f ca="1">IF(D134="","",(L133+2*L185))</f>
        <v>30.64499999999996</v>
      </c>
      <c r="M134" s="11">
        <f t="shared" ca="1" si="21"/>
        <v>28.2</v>
      </c>
      <c r="N134" s="11">
        <f t="shared" ca="1" si="23"/>
        <v>795.24</v>
      </c>
      <c r="O134" s="11">
        <f ca="1">IF(D134="","",(L134*H39)+H38)</f>
        <v>60.289999999999921</v>
      </c>
      <c r="P134" s="11">
        <f t="shared" ca="1" si="24"/>
        <v>3634.8840999999907</v>
      </c>
      <c r="Q134" s="11">
        <f t="shared" ca="1" si="25"/>
        <v>1700.1779999999978</v>
      </c>
      <c r="R134" s="11">
        <f t="shared" ca="1" si="26"/>
        <v>28</v>
      </c>
      <c r="S134" s="11">
        <f t="shared" ca="1" si="27"/>
        <v>784</v>
      </c>
      <c r="T134" s="11">
        <f t="shared" ca="1" si="29"/>
        <v>60.289999999999921</v>
      </c>
      <c r="U134" s="11">
        <f t="shared" ca="1" si="29"/>
        <v>3634.8840999999907</v>
      </c>
      <c r="V134" s="11">
        <f t="shared" ca="1" si="28"/>
        <v>1688.1199999999978</v>
      </c>
    </row>
    <row r="135" spans="1:22" x14ac:dyDescent="0.3">
      <c r="A135" s="11">
        <f ca="1">'FALL 5'!A135</f>
        <v>45.131435825901526</v>
      </c>
      <c r="B135" s="11">
        <f ca="1">'FALL 5'!B135</f>
        <v>55.921474171140048</v>
      </c>
      <c r="C135" s="11">
        <f>'FALL 3'!C135</f>
        <v>62</v>
      </c>
      <c r="D135" s="11">
        <f ca="1">IF(C135=0,"",(B135*0.01*(B35)+K78))</f>
        <v>56.36225942942864</v>
      </c>
      <c r="E135" s="11"/>
      <c r="F135" s="11">
        <f ca="1">IF(D135="","",(D135*((D22-F36)/(99-0))+F36))</f>
        <v>28.68112971471432</v>
      </c>
      <c r="G135" s="11">
        <f t="shared" ca="1" si="19"/>
        <v>56.36225942942864</v>
      </c>
      <c r="H135" s="50" t="str">
        <f ca="1">IF(I176=C135,I135,"")</f>
        <v/>
      </c>
      <c r="I135" s="11">
        <f t="shared" ca="1" si="20"/>
        <v>28.7</v>
      </c>
      <c r="J135" s="11"/>
      <c r="K135" s="11"/>
      <c r="L135" s="11">
        <f ca="1">IF(D135="","",(L134+2*L185))</f>
        <v>31.134999999999959</v>
      </c>
      <c r="M135" s="11">
        <f t="shared" ca="1" si="21"/>
        <v>28.7</v>
      </c>
      <c r="N135" s="11">
        <f t="shared" ca="1" si="23"/>
        <v>823.68999999999994</v>
      </c>
      <c r="O135" s="11">
        <f ca="1">IF(D135="","",(L135*H39)+H38)</f>
        <v>61.269999999999918</v>
      </c>
      <c r="P135" s="11">
        <f t="shared" ca="1" si="24"/>
        <v>3754.0128999999897</v>
      </c>
      <c r="Q135" s="11">
        <f t="shared" ca="1" si="25"/>
        <v>1758.4489999999976</v>
      </c>
      <c r="R135" s="11">
        <f t="shared" ca="1" si="26"/>
        <v>29</v>
      </c>
      <c r="S135" s="11">
        <f t="shared" ca="1" si="27"/>
        <v>841</v>
      </c>
      <c r="T135" s="11">
        <f t="shared" ca="1" si="29"/>
        <v>61.269999999999918</v>
      </c>
      <c r="U135" s="11">
        <f t="shared" ca="1" si="29"/>
        <v>3754.0128999999897</v>
      </c>
      <c r="V135" s="11">
        <f t="shared" ca="1" si="28"/>
        <v>1776.8299999999977</v>
      </c>
    </row>
    <row r="136" spans="1:22" x14ac:dyDescent="0.3">
      <c r="A136" s="11">
        <f ca="1">'FALL 5'!A136</f>
        <v>8.6086870533608284</v>
      </c>
      <c r="B136" s="11">
        <f ca="1">'FALL 5'!B136</f>
        <v>57.057053405632232</v>
      </c>
      <c r="C136" s="11">
        <f>'FALL 3'!C136</f>
        <v>63</v>
      </c>
      <c r="D136" s="11">
        <f ca="1">IF(C136=0,"",(B136*0.01*(B35)+K78))</f>
        <v>57.486482871575902</v>
      </c>
      <c r="E136" s="11"/>
      <c r="F136" s="11">
        <f ca="1">IF(D136="","",(D136*((D22-F36)/(99-0))+F36))</f>
        <v>29.243241435787951</v>
      </c>
      <c r="G136" s="11">
        <f t="shared" ca="1" si="19"/>
        <v>57.486482871575902</v>
      </c>
      <c r="H136" s="50" t="str">
        <f ca="1">IF(I176=C136,I136,"")</f>
        <v/>
      </c>
      <c r="I136" s="11">
        <f t="shared" ca="1" si="20"/>
        <v>29.2</v>
      </c>
      <c r="J136" s="11"/>
      <c r="K136" s="11"/>
      <c r="L136" s="11">
        <f ca="1">IF(D136="","",(L135+2*L185))</f>
        <v>31.624999999999957</v>
      </c>
      <c r="M136" s="11">
        <f t="shared" ca="1" si="21"/>
        <v>29.2</v>
      </c>
      <c r="N136" s="11">
        <f t="shared" ca="1" si="23"/>
        <v>852.64</v>
      </c>
      <c r="O136" s="11">
        <f ca="1">IF(D136="","",(L136*H39)+H38)</f>
        <v>62.249999999999915</v>
      </c>
      <c r="P136" s="11">
        <f t="shared" ca="1" si="24"/>
        <v>3875.0624999999895</v>
      </c>
      <c r="Q136" s="11">
        <f t="shared" ca="1" si="25"/>
        <v>1817.6999999999975</v>
      </c>
      <c r="R136" s="11">
        <f t="shared" ca="1" si="26"/>
        <v>29</v>
      </c>
      <c r="S136" s="11">
        <f t="shared" ca="1" si="27"/>
        <v>841</v>
      </c>
      <c r="T136" s="11">
        <f t="shared" ca="1" si="29"/>
        <v>62.249999999999915</v>
      </c>
      <c r="U136" s="11">
        <f t="shared" ca="1" si="29"/>
        <v>3875.0624999999895</v>
      </c>
      <c r="V136" s="11">
        <f t="shared" ca="1" si="28"/>
        <v>1805.2499999999975</v>
      </c>
    </row>
    <row r="137" spans="1:22" x14ac:dyDescent="0.3">
      <c r="A137" s="11">
        <f ca="1">'FALL 5'!A137</f>
        <v>18.096694046407926</v>
      </c>
      <c r="B137" s="11">
        <f ca="1">'FALL 5'!B137</f>
        <v>57.231159567227657</v>
      </c>
      <c r="C137" s="11">
        <f>'FALL 3'!C137</f>
        <v>64</v>
      </c>
      <c r="D137" s="11">
        <f ca="1">IF(C137=0,"",(B137*0.01*(B35)+K78))</f>
        <v>57.658847971555382</v>
      </c>
      <c r="E137" s="11"/>
      <c r="F137" s="11">
        <f ca="1">IF(D137="","",(D137*((D22-F36)/(99-0))+F36))</f>
        <v>29.329423985777691</v>
      </c>
      <c r="G137" s="11">
        <f t="shared" ca="1" si="19"/>
        <v>57.658847971555382</v>
      </c>
      <c r="H137" s="50" t="str">
        <f ca="1">IF(I176=C137,I137,"")</f>
        <v/>
      </c>
      <c r="I137" s="11">
        <f t="shared" ca="1" si="20"/>
        <v>29.3</v>
      </c>
      <c r="J137" s="11"/>
      <c r="K137" s="11"/>
      <c r="L137" s="11">
        <f ca="1">IF(D137="","",(L136+2*L185))</f>
        <v>32.114999999999959</v>
      </c>
      <c r="M137" s="11">
        <f t="shared" ca="1" si="21"/>
        <v>29.3</v>
      </c>
      <c r="N137" s="11">
        <f t="shared" ca="1" si="23"/>
        <v>858.49</v>
      </c>
      <c r="O137" s="11">
        <f ca="1">IF(D137="","",(L137*H39)+H38)</f>
        <v>63.229999999999919</v>
      </c>
      <c r="P137" s="11">
        <f t="shared" ca="1" si="24"/>
        <v>3998.0328999999897</v>
      </c>
      <c r="Q137" s="11">
        <f t="shared" ca="1" si="25"/>
        <v>1852.6389999999976</v>
      </c>
      <c r="R137" s="11">
        <f t="shared" ca="1" si="26"/>
        <v>29</v>
      </c>
      <c r="S137" s="11">
        <f t="shared" ca="1" si="27"/>
        <v>841</v>
      </c>
      <c r="T137" s="11">
        <f t="shared" ca="1" si="29"/>
        <v>63.229999999999919</v>
      </c>
      <c r="U137" s="11">
        <f t="shared" ca="1" si="29"/>
        <v>3998.0328999999897</v>
      </c>
      <c r="V137" s="11">
        <f t="shared" ca="1" si="28"/>
        <v>1833.6699999999976</v>
      </c>
    </row>
    <row r="138" spans="1:22" x14ac:dyDescent="0.3">
      <c r="A138" s="11">
        <f ca="1">'FALL 5'!A138</f>
        <v>15.018448098362695</v>
      </c>
      <c r="B138" s="11">
        <f ca="1">'FALL 5'!B138</f>
        <v>57.963653871992953</v>
      </c>
      <c r="C138" s="11">
        <f>'FALL 3'!C138</f>
        <v>65</v>
      </c>
      <c r="D138" s="11">
        <f ca="1">IF(C138=0,"",(B138*0.01*(B35)+K78))</f>
        <v>58.384017333273022</v>
      </c>
      <c r="E138" s="11"/>
      <c r="F138" s="11">
        <f ca="1">IF(D138="","",(D138*((D22-F36)/(99-0))+F36))</f>
        <v>29.692008666636511</v>
      </c>
      <c r="G138" s="11">
        <f t="shared" ref="G138:G173" ca="1" si="30">D138</f>
        <v>58.384017333273022</v>
      </c>
      <c r="H138" s="50" t="str">
        <f ca="1">IF(I176=C138,I138,"")</f>
        <v/>
      </c>
      <c r="I138" s="11">
        <f t="shared" ref="I138:I173" ca="1" si="31">IF(F138="","",ROUND(F138,1))</f>
        <v>29.7</v>
      </c>
      <c r="J138" s="11"/>
      <c r="K138" s="11"/>
      <c r="L138" s="11">
        <f ca="1">IF(D138="","",(L137+2*L185))</f>
        <v>32.604999999999961</v>
      </c>
      <c r="M138" s="11">
        <f t="shared" ref="M138:M173" ca="1" si="32">I138</f>
        <v>29.7</v>
      </c>
      <c r="N138" s="11">
        <f t="shared" ca="1" si="23"/>
        <v>882.08999999999992</v>
      </c>
      <c r="O138" s="11">
        <f ca="1">IF(D138="","",(L138*H39)+H38)</f>
        <v>64.209999999999923</v>
      </c>
      <c r="P138" s="11">
        <f t="shared" ca="1" si="24"/>
        <v>4122.9240999999902</v>
      </c>
      <c r="Q138" s="11">
        <f t="shared" ca="1" si="25"/>
        <v>1907.0369999999978</v>
      </c>
      <c r="R138" s="11">
        <f t="shared" ca="1" si="26"/>
        <v>30</v>
      </c>
      <c r="S138" s="11">
        <f t="shared" ca="1" si="27"/>
        <v>900</v>
      </c>
      <c r="T138" s="11">
        <f t="shared" ca="1" si="29"/>
        <v>64.209999999999923</v>
      </c>
      <c r="U138" s="11">
        <f t="shared" ca="1" si="29"/>
        <v>4122.9240999999902</v>
      </c>
      <c r="V138" s="11">
        <f t="shared" ca="1" si="28"/>
        <v>1926.2999999999977</v>
      </c>
    </row>
    <row r="139" spans="1:22" x14ac:dyDescent="0.3">
      <c r="A139" s="11">
        <f ca="1">'FALL 5'!A139</f>
        <v>22.363985131911313</v>
      </c>
      <c r="B139" s="11">
        <f ca="1">'FALL 5'!B139</f>
        <v>58.464920340926298</v>
      </c>
      <c r="C139" s="11">
        <f>'FALL 3'!C139</f>
        <v>66</v>
      </c>
      <c r="D139" s="11">
        <f ca="1">IF(C139=0,"",(B139*0.01*(B35)+K78))</f>
        <v>58.880271137517028</v>
      </c>
      <c r="E139" s="11"/>
      <c r="F139" s="11">
        <f ca="1">IF(D139="","",(D139*((D22-F36)/(99-0))+F36))</f>
        <v>29.940135568758514</v>
      </c>
      <c r="G139" s="11">
        <f t="shared" ca="1" si="30"/>
        <v>58.880271137517028</v>
      </c>
      <c r="H139" s="50" t="str">
        <f>IF(176=C139,I139,"")</f>
        <v/>
      </c>
      <c r="I139" s="11">
        <f t="shared" ca="1" si="31"/>
        <v>29.9</v>
      </c>
      <c r="J139" s="11"/>
      <c r="K139" s="11"/>
      <c r="L139" s="11">
        <f ca="1">IF(D139="","",(L138+2*L185))</f>
        <v>33.094999999999963</v>
      </c>
      <c r="M139" s="11">
        <f t="shared" ca="1" si="32"/>
        <v>29.9</v>
      </c>
      <c r="N139" s="11">
        <f t="shared" ref="N139:N173" ca="1" si="33">IF(M139="","",(M139^2))</f>
        <v>894.00999999999988</v>
      </c>
      <c r="O139" s="11">
        <f ca="1">IF(D139="","",(L139*H39)+H38)</f>
        <v>65.189999999999927</v>
      </c>
      <c r="P139" s="11">
        <f t="shared" ref="P139:P173" ca="1" si="34">(IF(O139="","",O139^2))</f>
        <v>4249.7360999999901</v>
      </c>
      <c r="Q139" s="11">
        <f t="shared" ref="Q139:Q172" ca="1" si="35">IF(M139="","",(M139*O139))</f>
        <v>1949.1809999999978</v>
      </c>
      <c r="R139" s="11">
        <f t="shared" ref="R139:R173" ca="1" si="36">IF(M139="","",ROUND(M139,0))</f>
        <v>30</v>
      </c>
      <c r="S139" s="11">
        <f t="shared" ref="S139:S173" ca="1" si="37">IF(M139="","",(R139^2))</f>
        <v>900</v>
      </c>
      <c r="T139" s="11">
        <f t="shared" ca="1" si="29"/>
        <v>65.189999999999927</v>
      </c>
      <c r="U139" s="11">
        <f t="shared" ca="1" si="29"/>
        <v>4249.7360999999901</v>
      </c>
      <c r="V139" s="11">
        <f t="shared" ref="V139:V173" ca="1" si="38">IF(M139="","",(R139*T139))</f>
        <v>1955.6999999999978</v>
      </c>
    </row>
    <row r="140" spans="1:22" x14ac:dyDescent="0.3">
      <c r="A140" s="11">
        <f ca="1">'FALL 5'!A140</f>
        <v>20.069201538126915</v>
      </c>
      <c r="B140" s="11">
        <f ca="1">'FALL 5'!B140</f>
        <v>61.62027419648895</v>
      </c>
      <c r="C140" s="11">
        <f>'FALL 3'!C140</f>
        <v>67</v>
      </c>
      <c r="D140" s="11">
        <f ca="1">IF(C140=0,"",(B140*0.01*(B35)+K78))</f>
        <v>62.004071454524059</v>
      </c>
      <c r="E140" s="11"/>
      <c r="F140" s="11">
        <f ca="1">IF(D140="","",(D140*((D22-F36)/(99-0))+F36))</f>
        <v>31.502035727262029</v>
      </c>
      <c r="G140" s="11">
        <f t="shared" ca="1" si="30"/>
        <v>62.004071454524059</v>
      </c>
      <c r="H140" s="50" t="str">
        <f ca="1">IF(I176=C140,I140,"")</f>
        <v/>
      </c>
      <c r="I140" s="11">
        <f t="shared" ca="1" si="31"/>
        <v>31.5</v>
      </c>
      <c r="J140" s="11"/>
      <c r="K140" s="11"/>
      <c r="L140" s="11">
        <f ca="1">IF(D140="","",(L139+2*L185))</f>
        <v>33.584999999999965</v>
      </c>
      <c r="M140" s="11">
        <f t="shared" ca="1" si="32"/>
        <v>31.5</v>
      </c>
      <c r="N140" s="11">
        <f t="shared" ca="1" si="33"/>
        <v>992.25</v>
      </c>
      <c r="O140" s="11">
        <f ca="1">IF(D140="","",(L140*H39)+H38)</f>
        <v>66.169999999999931</v>
      </c>
      <c r="P140" s="11">
        <f t="shared" ca="1" si="34"/>
        <v>4378.4688999999908</v>
      </c>
      <c r="Q140" s="11">
        <f t="shared" ca="1" si="35"/>
        <v>2084.3549999999977</v>
      </c>
      <c r="R140" s="11">
        <f t="shared" ca="1" si="36"/>
        <v>32</v>
      </c>
      <c r="S140" s="11">
        <f t="shared" ca="1" si="37"/>
        <v>1024</v>
      </c>
      <c r="T140" s="11">
        <f t="shared" ca="1" si="29"/>
        <v>66.169999999999931</v>
      </c>
      <c r="U140" s="11">
        <f t="shared" ca="1" si="29"/>
        <v>4378.4688999999908</v>
      </c>
      <c r="V140" s="11">
        <f t="shared" ca="1" si="38"/>
        <v>2117.4399999999978</v>
      </c>
    </row>
    <row r="141" spans="1:22" x14ac:dyDescent="0.3">
      <c r="A141" s="11">
        <f ca="1">'FALL 5'!A141</f>
        <v>61.624048016440454</v>
      </c>
      <c r="B141" s="11">
        <f ca="1">'FALL 5'!B141</f>
        <v>61.624048016440454</v>
      </c>
      <c r="C141" s="11">
        <f>'FALL 3'!C141</f>
        <v>68</v>
      </c>
      <c r="D141" s="11">
        <f ca="1">IF(C141=0,"",(B141*0.01*(B35)+K78))</f>
        <v>62.007807536276047</v>
      </c>
      <c r="E141" s="11"/>
      <c r="F141" s="11">
        <f ca="1">IF(D141="","",(D141*((D22-F36)/(99-0))+F36))</f>
        <v>31.503903768138024</v>
      </c>
      <c r="G141" s="11">
        <f t="shared" ca="1" si="30"/>
        <v>62.007807536276047</v>
      </c>
      <c r="H141" s="50" t="str">
        <f ca="1">IF(I176=C141,I141,"")</f>
        <v/>
      </c>
      <c r="I141" s="11">
        <f t="shared" ca="1" si="31"/>
        <v>31.5</v>
      </c>
      <c r="J141" s="11"/>
      <c r="K141" s="11"/>
      <c r="L141" s="11">
        <f ca="1">IF(D141="","",(L140+2*L185))</f>
        <v>34.074999999999967</v>
      </c>
      <c r="M141" s="11">
        <f t="shared" ca="1" si="32"/>
        <v>31.5</v>
      </c>
      <c r="N141" s="11">
        <f t="shared" ca="1" si="33"/>
        <v>992.25</v>
      </c>
      <c r="O141" s="11">
        <f ca="1">IF(D141="","",(L141*H39)+H38)</f>
        <v>67.149999999999935</v>
      </c>
      <c r="P141" s="11">
        <f t="shared" ca="1" si="34"/>
        <v>4509.1224999999913</v>
      </c>
      <c r="Q141" s="11">
        <f t="shared" ca="1" si="35"/>
        <v>2115.2249999999981</v>
      </c>
      <c r="R141" s="11">
        <f t="shared" ca="1" si="36"/>
        <v>32</v>
      </c>
      <c r="S141" s="11">
        <f t="shared" ca="1" si="37"/>
        <v>1024</v>
      </c>
      <c r="T141" s="11">
        <f t="shared" ca="1" si="29"/>
        <v>67.149999999999935</v>
      </c>
      <c r="U141" s="11">
        <f t="shared" ca="1" si="29"/>
        <v>4509.1224999999913</v>
      </c>
      <c r="V141" s="11">
        <f t="shared" ca="1" si="38"/>
        <v>2148.7999999999979</v>
      </c>
    </row>
    <row r="142" spans="1:22" x14ac:dyDescent="0.3">
      <c r="A142" s="11">
        <f ca="1">'FALL 5'!A142</f>
        <v>95.286660752850921</v>
      </c>
      <c r="B142" s="11">
        <f ca="1">'FALL 5'!B142</f>
        <v>61.705597331283826</v>
      </c>
      <c r="C142" s="11">
        <f>'FALL 3'!C142</f>
        <v>69</v>
      </c>
      <c r="D142" s="11">
        <f ca="1">IF(C142=0,"",(B142*0.01*(B35)+K78))</f>
        <v>62.088541357970975</v>
      </c>
      <c r="E142" s="11"/>
      <c r="F142" s="11">
        <f ca="1">IF(D142="","",(D142*((D22-F36)/(99-0))+F36))</f>
        <v>31.544270678985487</v>
      </c>
      <c r="G142" s="11">
        <f t="shared" ca="1" si="30"/>
        <v>62.088541357970975</v>
      </c>
      <c r="H142" s="50" t="str">
        <f ca="1">IF(I176=C142,I142,"")</f>
        <v/>
      </c>
      <c r="I142" s="11">
        <f t="shared" ca="1" si="31"/>
        <v>31.5</v>
      </c>
      <c r="J142" s="11"/>
      <c r="K142" s="11"/>
      <c r="L142" s="11">
        <f ca="1">IF(D142="","",(L141+2*L185))</f>
        <v>34.564999999999969</v>
      </c>
      <c r="M142" s="11">
        <f t="shared" ca="1" si="32"/>
        <v>31.5</v>
      </c>
      <c r="N142" s="11">
        <f t="shared" ca="1" si="33"/>
        <v>992.25</v>
      </c>
      <c r="O142" s="11">
        <f ca="1">IF(D142="","",(L142*H39)+H38)</f>
        <v>68.129999999999939</v>
      </c>
      <c r="P142" s="11">
        <f t="shared" ca="1" si="34"/>
        <v>4641.6968999999917</v>
      </c>
      <c r="Q142" s="11">
        <f t="shared" ca="1" si="35"/>
        <v>2146.094999999998</v>
      </c>
      <c r="R142" s="11">
        <f t="shared" ca="1" si="36"/>
        <v>32</v>
      </c>
      <c r="S142" s="11">
        <f t="shared" ca="1" si="37"/>
        <v>1024</v>
      </c>
      <c r="T142" s="11">
        <f t="shared" ca="1" si="29"/>
        <v>68.129999999999939</v>
      </c>
      <c r="U142" s="11">
        <f t="shared" ca="1" si="29"/>
        <v>4641.6968999999917</v>
      </c>
      <c r="V142" s="11">
        <f t="shared" ca="1" si="38"/>
        <v>2180.159999999998</v>
      </c>
    </row>
    <row r="143" spans="1:22" x14ac:dyDescent="0.3">
      <c r="A143" s="11">
        <f ca="1">'FALL 5'!A143</f>
        <v>93.945212033707335</v>
      </c>
      <c r="B143" s="11">
        <f ca="1">'FALL 5'!B143</f>
        <v>61.739216598369225</v>
      </c>
      <c r="C143" s="11">
        <f>'FALL 3'!C143</f>
        <v>70</v>
      </c>
      <c r="D143" s="11">
        <f ca="1">IF(C143=0,"",(B143*0.01*(B35)+K78))</f>
        <v>62.12182443238553</v>
      </c>
      <c r="E143" s="11"/>
      <c r="F143" s="11">
        <f ca="1">IF(D143="","",(D143*((D22-F36)/(99-0))+F36))</f>
        <v>31.560912216192765</v>
      </c>
      <c r="G143" s="11">
        <f t="shared" ca="1" si="30"/>
        <v>62.12182443238553</v>
      </c>
      <c r="H143" s="50" t="str">
        <f ca="1">IF(I176=C143,I143,"")</f>
        <v/>
      </c>
      <c r="I143" s="11">
        <f t="shared" ca="1" si="31"/>
        <v>31.6</v>
      </c>
      <c r="J143" s="11"/>
      <c r="K143" s="11"/>
      <c r="L143" s="11">
        <f ca="1">IF(D143="","",(L142+2*L185))</f>
        <v>35.054999999999971</v>
      </c>
      <c r="M143" s="11">
        <f t="shared" ca="1" si="32"/>
        <v>31.6</v>
      </c>
      <c r="N143" s="11">
        <f t="shared" ca="1" si="33"/>
        <v>998.56000000000006</v>
      </c>
      <c r="O143" s="11">
        <f ca="1">IF(D143="","",(L143*H39)+H38)</f>
        <v>69.109999999999943</v>
      </c>
      <c r="P143" s="11">
        <f t="shared" ca="1" si="34"/>
        <v>4776.192099999992</v>
      </c>
      <c r="Q143" s="11">
        <f t="shared" ca="1" si="35"/>
        <v>2183.8759999999984</v>
      </c>
      <c r="R143" s="11">
        <f t="shared" ca="1" si="36"/>
        <v>32</v>
      </c>
      <c r="S143" s="11">
        <f t="shared" ca="1" si="37"/>
        <v>1024</v>
      </c>
      <c r="T143" s="11">
        <f t="shared" ca="1" si="29"/>
        <v>69.109999999999943</v>
      </c>
      <c r="U143" s="11">
        <f t="shared" ca="1" si="29"/>
        <v>4776.192099999992</v>
      </c>
      <c r="V143" s="11">
        <f t="shared" ca="1" si="38"/>
        <v>2211.5199999999982</v>
      </c>
    </row>
    <row r="144" spans="1:22" x14ac:dyDescent="0.3">
      <c r="A144" s="11">
        <f ca="1">'FALL 5'!A144</f>
        <v>33.716555255162135</v>
      </c>
      <c r="B144" s="11">
        <f ca="1">'FALL 5'!B144</f>
        <v>64.209943240490091</v>
      </c>
      <c r="C144" s="11">
        <f>'FALL 3'!C144</f>
        <v>71</v>
      </c>
      <c r="D144" s="11">
        <f ca="1">IF(C144=0,"",(B144*0.01*(B35)+K78))</f>
        <v>64.567843808085186</v>
      </c>
      <c r="E144" s="11"/>
      <c r="F144" s="11">
        <f ca="1">IF(D144="","",(D144*((D22-F36)/(99-0))+F36))</f>
        <v>32.783921904042593</v>
      </c>
      <c r="G144" s="11">
        <f t="shared" ca="1" si="30"/>
        <v>64.567843808085186</v>
      </c>
      <c r="H144" s="50" t="str">
        <f ca="1">IF(I176=C144,I144,"")</f>
        <v/>
      </c>
      <c r="I144" s="11">
        <f t="shared" ca="1" si="31"/>
        <v>32.799999999999997</v>
      </c>
      <c r="J144" s="11"/>
      <c r="K144" s="11"/>
      <c r="L144" s="11">
        <f ca="1">IF(D144="","",(L143+2*L185))</f>
        <v>35.544999999999973</v>
      </c>
      <c r="M144" s="11">
        <f t="shared" ca="1" si="32"/>
        <v>32.799999999999997</v>
      </c>
      <c r="N144" s="11">
        <f t="shared" ca="1" si="33"/>
        <v>1075.8399999999999</v>
      </c>
      <c r="O144" s="11">
        <f ca="1">IF(D144="","",(L144*H39)+H38)</f>
        <v>70.089999999999947</v>
      </c>
      <c r="P144" s="11">
        <f t="shared" ca="1" si="34"/>
        <v>4912.6080999999922</v>
      </c>
      <c r="Q144" s="11">
        <f t="shared" ca="1" si="35"/>
        <v>2298.951999999998</v>
      </c>
      <c r="R144" s="11">
        <f t="shared" ca="1" si="36"/>
        <v>33</v>
      </c>
      <c r="S144" s="11">
        <f t="shared" ca="1" si="37"/>
        <v>1089</v>
      </c>
      <c r="T144" s="11">
        <f t="shared" ca="1" si="29"/>
        <v>70.089999999999947</v>
      </c>
      <c r="U144" s="11">
        <f t="shared" ca="1" si="29"/>
        <v>4912.6080999999922</v>
      </c>
      <c r="V144" s="11">
        <f t="shared" ca="1" si="38"/>
        <v>2312.9699999999984</v>
      </c>
    </row>
    <row r="145" spans="1:22" x14ac:dyDescent="0.3">
      <c r="A145" s="11">
        <f ca="1">'FALL 5'!A145</f>
        <v>75.835971144184526</v>
      </c>
      <c r="B145" s="11">
        <f ca="1">'FALL 5'!B145</f>
        <v>66.060567090885314</v>
      </c>
      <c r="C145" s="11">
        <f>'FALL 3'!C145</f>
        <v>72</v>
      </c>
      <c r="D145" s="11">
        <f ca="1">IF(C145=0,"",(B145*0.01*(B35)+K78))</f>
        <v>66.399961419976449</v>
      </c>
      <c r="E145" s="11"/>
      <c r="F145" s="11">
        <f ca="1">IF(D145="","",(D145*((D22-F36)/(99-0))+F36))</f>
        <v>33.699980709988225</v>
      </c>
      <c r="G145" s="11">
        <f t="shared" ca="1" si="30"/>
        <v>66.399961419976449</v>
      </c>
      <c r="H145" s="50" t="str">
        <f ca="1">IF(I176=C145,I145,"")</f>
        <v/>
      </c>
      <c r="I145" s="11">
        <f t="shared" ca="1" si="31"/>
        <v>33.700000000000003</v>
      </c>
      <c r="J145" s="11"/>
      <c r="K145" s="11"/>
      <c r="L145" s="11">
        <f ca="1">IF(D145="","",(L144+2*L185))</f>
        <v>36.034999999999975</v>
      </c>
      <c r="M145" s="11">
        <f t="shared" ca="1" si="32"/>
        <v>33.700000000000003</v>
      </c>
      <c r="N145" s="11">
        <f t="shared" ca="1" si="33"/>
        <v>1135.6900000000003</v>
      </c>
      <c r="O145" s="11">
        <f ca="1">IF(D145="","",(L145*H39)+H38)</f>
        <v>71.069999999999951</v>
      </c>
      <c r="P145" s="11">
        <f t="shared" ca="1" si="34"/>
        <v>5050.9448999999931</v>
      </c>
      <c r="Q145" s="11">
        <f t="shared" ca="1" si="35"/>
        <v>2395.0589999999984</v>
      </c>
      <c r="R145" s="11">
        <f t="shared" ca="1" si="36"/>
        <v>34</v>
      </c>
      <c r="S145" s="11">
        <f t="shared" ca="1" si="37"/>
        <v>1156</v>
      </c>
      <c r="T145" s="11">
        <f t="shared" ca="1" si="29"/>
        <v>71.069999999999951</v>
      </c>
      <c r="U145" s="11">
        <f t="shared" ca="1" si="29"/>
        <v>5050.9448999999931</v>
      </c>
      <c r="V145" s="11">
        <f t="shared" ca="1" si="38"/>
        <v>2416.3799999999983</v>
      </c>
    </row>
    <row r="146" spans="1:22" x14ac:dyDescent="0.3">
      <c r="A146" s="11">
        <f ca="1">'FALL 5'!A146</f>
        <v>34.688641730273304</v>
      </c>
      <c r="B146" s="11">
        <f ca="1">'FALL 5'!B146</f>
        <v>66.653251272831909</v>
      </c>
      <c r="C146" s="11">
        <f>'FALL 3'!C146</f>
        <v>73</v>
      </c>
      <c r="D146" s="11">
        <f ca="1">IF(C146=0,"",(B146*0.01*(B35)+K78))</f>
        <v>66.986718760103585</v>
      </c>
      <c r="E146" s="11"/>
      <c r="F146" s="11">
        <f ca="1">IF(D146="","",(D146*((D22-F36)/(99-0))+F36))</f>
        <v>33.993359380051793</v>
      </c>
      <c r="G146" s="11">
        <f t="shared" ca="1" si="30"/>
        <v>66.986718760103585</v>
      </c>
      <c r="H146" s="50" t="str">
        <f ca="1">IF(I176=C146,I146,"")</f>
        <v/>
      </c>
      <c r="I146" s="11">
        <f t="shared" ca="1" si="31"/>
        <v>34</v>
      </c>
      <c r="J146" s="11"/>
      <c r="K146" s="11"/>
      <c r="L146" s="11">
        <f ca="1">IF(D146="","",(L145+2*L185))</f>
        <v>36.524999999999977</v>
      </c>
      <c r="M146" s="11">
        <f t="shared" ca="1" si="32"/>
        <v>34</v>
      </c>
      <c r="N146" s="11">
        <f t="shared" ca="1" si="33"/>
        <v>1156</v>
      </c>
      <c r="O146" s="11">
        <f ca="1">IF(D146="","",(L146*H39)+H38)</f>
        <v>72.049999999999955</v>
      </c>
      <c r="P146" s="11">
        <f t="shared" ca="1" si="34"/>
        <v>5191.2024999999931</v>
      </c>
      <c r="Q146" s="11">
        <f t="shared" ca="1" si="35"/>
        <v>2449.6999999999985</v>
      </c>
      <c r="R146" s="11">
        <f t="shared" ca="1" si="36"/>
        <v>34</v>
      </c>
      <c r="S146" s="11">
        <f t="shared" ca="1" si="37"/>
        <v>1156</v>
      </c>
      <c r="T146" s="11">
        <f t="shared" ca="1" si="29"/>
        <v>72.049999999999955</v>
      </c>
      <c r="U146" s="11">
        <f t="shared" ca="1" si="29"/>
        <v>5191.2024999999931</v>
      </c>
      <c r="V146" s="11">
        <f t="shared" ca="1" si="38"/>
        <v>2449.6999999999985</v>
      </c>
    </row>
    <row r="147" spans="1:22" x14ac:dyDescent="0.3">
      <c r="A147" s="11">
        <f ca="1">'FALL 5'!A147</f>
        <v>19.716125294376258</v>
      </c>
      <c r="B147" s="11">
        <f ca="1">'FALL 5'!B147</f>
        <v>66.829826929516031</v>
      </c>
      <c r="C147" s="11">
        <f>'FALL 3'!C147</f>
        <v>74</v>
      </c>
      <c r="D147" s="11">
        <f ca="1">IF(C147=0,"",(B147*0.01*(B35)+K78))</f>
        <v>67.161528660220867</v>
      </c>
      <c r="E147" s="11"/>
      <c r="F147" s="11">
        <f ca="1">IF(D147="","",(D147*((D22-F36)/(99-0))+F36))</f>
        <v>34.080764330110433</v>
      </c>
      <c r="G147" s="11">
        <f t="shared" ca="1" si="30"/>
        <v>67.161528660220867</v>
      </c>
      <c r="H147" s="50" t="str">
        <f ca="1">IF(I176=C147,I147,"")</f>
        <v/>
      </c>
      <c r="I147" s="11">
        <f t="shared" ca="1" si="31"/>
        <v>34.1</v>
      </c>
      <c r="K147" s="11"/>
      <c r="L147" s="11">
        <f ca="1">IF(D147="","",(L146+2*L185))</f>
        <v>37.014999999999979</v>
      </c>
      <c r="M147" s="11">
        <f t="shared" ca="1" si="32"/>
        <v>34.1</v>
      </c>
      <c r="N147" s="11">
        <f t="shared" ca="1" si="33"/>
        <v>1162.8100000000002</v>
      </c>
      <c r="O147" s="11">
        <f ca="1">IF(D147="","",(L147*H39)+H38)</f>
        <v>73.029999999999959</v>
      </c>
      <c r="P147" s="11">
        <f t="shared" ca="1" si="34"/>
        <v>5333.3808999999937</v>
      </c>
      <c r="Q147" s="11">
        <f t="shared" ca="1" si="35"/>
        <v>2490.3229999999985</v>
      </c>
      <c r="R147" s="11">
        <f t="shared" ca="1" si="36"/>
        <v>34</v>
      </c>
      <c r="S147" s="11">
        <f t="shared" ca="1" si="37"/>
        <v>1156</v>
      </c>
      <c r="T147" s="11">
        <f t="shared" ca="1" si="29"/>
        <v>73.029999999999959</v>
      </c>
      <c r="U147" s="11">
        <f t="shared" ca="1" si="29"/>
        <v>5333.3808999999937</v>
      </c>
      <c r="V147" s="11">
        <f t="shared" ca="1" si="38"/>
        <v>2483.0199999999986</v>
      </c>
    </row>
    <row r="148" spans="1:22" x14ac:dyDescent="0.3">
      <c r="A148" s="11">
        <f ca="1">'FALL 5'!A148</f>
        <v>10.885530224479504</v>
      </c>
      <c r="B148" s="11">
        <f ca="1">'FALL 5'!B148</f>
        <v>67.554798364905551</v>
      </c>
      <c r="C148" s="11">
        <f>'FALL 3'!C148</f>
        <v>75</v>
      </c>
      <c r="D148" s="11">
        <f ca="1">IF(C148=0,"",(B148*0.01*(B35)+K78))</f>
        <v>67.879250381256483</v>
      </c>
      <c r="E148" s="11"/>
      <c r="F148" s="11">
        <f ca="1">IF(D148="","",(D148*((D22-F36)/(99-0))+F36))</f>
        <v>34.439625190628242</v>
      </c>
      <c r="G148" s="11">
        <f t="shared" ca="1" si="30"/>
        <v>67.879250381256483</v>
      </c>
      <c r="H148" s="50" t="str">
        <f ca="1">IF(I176=C148,I148,"")</f>
        <v/>
      </c>
      <c r="I148" s="11">
        <f t="shared" ca="1" si="31"/>
        <v>34.4</v>
      </c>
      <c r="K148" s="11"/>
      <c r="L148" s="11">
        <f ca="1">IF(D148="","",(L147+2*L185))</f>
        <v>37.504999999999981</v>
      </c>
      <c r="M148" s="11">
        <f t="shared" ca="1" si="32"/>
        <v>34.4</v>
      </c>
      <c r="N148" s="11">
        <f t="shared" ca="1" si="33"/>
        <v>1183.3599999999999</v>
      </c>
      <c r="O148" s="11">
        <f ca="1">IF(D148="","",(L148*H39)+H38)</f>
        <v>74.009999999999962</v>
      </c>
      <c r="P148" s="11">
        <f t="shared" ca="1" si="34"/>
        <v>5477.4800999999943</v>
      </c>
      <c r="Q148" s="11">
        <f t="shared" ca="1" si="35"/>
        <v>2545.9439999999986</v>
      </c>
      <c r="R148" s="11">
        <f t="shared" ca="1" si="36"/>
        <v>34</v>
      </c>
      <c r="S148" s="11">
        <f t="shared" ca="1" si="37"/>
        <v>1156</v>
      </c>
      <c r="T148" s="11">
        <f t="shared" ca="1" si="29"/>
        <v>74.009999999999962</v>
      </c>
      <c r="U148" s="11">
        <f t="shared" ca="1" si="29"/>
        <v>5477.4800999999943</v>
      </c>
      <c r="V148" s="11">
        <f t="shared" ca="1" si="38"/>
        <v>2516.3399999999988</v>
      </c>
    </row>
    <row r="149" spans="1:22" x14ac:dyDescent="0.3">
      <c r="A149" s="11">
        <f ca="1">'FALL 5'!A149</f>
        <v>73.350716253599742</v>
      </c>
      <c r="B149" s="11">
        <f ca="1">'FALL 5'!B149</f>
        <v>69.999571086914443</v>
      </c>
      <c r="C149" s="11">
        <f>'FALL 3'!C149</f>
        <v>76</v>
      </c>
      <c r="D149" s="11">
        <f ca="1">IF(C149=0,"",(B149*0.01*(B35)+K78))</f>
        <v>70.299575376045297</v>
      </c>
      <c r="E149" s="11"/>
      <c r="F149" s="11">
        <f ca="1">IF(D149="","",(D149*((D22-F36)/(99-0))+F36))</f>
        <v>35.649787688022649</v>
      </c>
      <c r="G149" s="11">
        <f t="shared" ca="1" si="30"/>
        <v>70.299575376045297</v>
      </c>
      <c r="H149" s="50" t="str">
        <f ca="1">IF(I176=C149,I149,"")</f>
        <v/>
      </c>
      <c r="I149" s="11">
        <f t="shared" ca="1" si="31"/>
        <v>35.6</v>
      </c>
      <c r="K149" s="11"/>
      <c r="L149" s="11">
        <f ca="1">IF(D149="","",(L148+2*L185))</f>
        <v>37.994999999999983</v>
      </c>
      <c r="M149" s="11">
        <f t="shared" ca="1" si="32"/>
        <v>35.6</v>
      </c>
      <c r="N149" s="11">
        <f t="shared" ca="1" si="33"/>
        <v>1267.3600000000001</v>
      </c>
      <c r="O149" s="11">
        <f ca="1">IF(D149="","",(L149*H39)+H38)</f>
        <v>74.989999999999966</v>
      </c>
      <c r="P149" s="11">
        <f t="shared" ca="1" si="34"/>
        <v>5623.5000999999947</v>
      </c>
      <c r="Q149" s="11">
        <f t="shared" ca="1" si="35"/>
        <v>2669.6439999999989</v>
      </c>
      <c r="R149" s="11">
        <f t="shared" ca="1" si="36"/>
        <v>36</v>
      </c>
      <c r="S149" s="11">
        <f t="shared" ca="1" si="37"/>
        <v>1296</v>
      </c>
      <c r="T149" s="11">
        <f t="shared" ca="1" si="29"/>
        <v>74.989999999999966</v>
      </c>
      <c r="U149" s="11">
        <f t="shared" ca="1" si="29"/>
        <v>5623.5000999999947</v>
      </c>
      <c r="V149" s="11">
        <f t="shared" ca="1" si="38"/>
        <v>2699.639999999999</v>
      </c>
    </row>
    <row r="150" spans="1:22" x14ac:dyDescent="0.3">
      <c r="A150" s="11">
        <f ca="1">'FALL 5'!A150</f>
        <v>61.739216598369225</v>
      </c>
      <c r="B150" s="11">
        <f ca="1">'FALL 5'!B150</f>
        <v>70.170321861690041</v>
      </c>
      <c r="C150" s="11">
        <f>'FALL 3'!C150</f>
        <v>77</v>
      </c>
      <c r="D150" s="11">
        <f ca="1">IF(C150=0,"",(B150*0.01*(B35)+K78))</f>
        <v>70.468618643073128</v>
      </c>
      <c r="E150" s="11"/>
      <c r="F150" s="11">
        <f ca="1">IF(D150="","",(D150*((D22-F36)/(99-0))+F36))</f>
        <v>35.734309321536564</v>
      </c>
      <c r="G150" s="11">
        <f t="shared" ca="1" si="30"/>
        <v>70.468618643073128</v>
      </c>
      <c r="H150" s="50" t="str">
        <f ca="1">IF(I176=C150,I150,"")</f>
        <v/>
      </c>
      <c r="I150" s="11">
        <f t="shared" ca="1" si="31"/>
        <v>35.700000000000003</v>
      </c>
      <c r="J150" s="11"/>
      <c r="K150" s="11"/>
      <c r="L150" s="11">
        <f ca="1">IF(D150="","",(L149+2*L185))</f>
        <v>38.484999999999985</v>
      </c>
      <c r="M150" s="11">
        <f t="shared" ca="1" si="32"/>
        <v>35.700000000000003</v>
      </c>
      <c r="N150" s="11">
        <f t="shared" ca="1" si="33"/>
        <v>1274.4900000000002</v>
      </c>
      <c r="O150" s="11">
        <f ca="1">IF(D150="","",(L150*H39)+H38)</f>
        <v>75.96999999999997</v>
      </c>
      <c r="P150" s="11">
        <f t="shared" ca="1" si="34"/>
        <v>5771.440899999996</v>
      </c>
      <c r="Q150" s="11">
        <f t="shared" ca="1" si="35"/>
        <v>2712.128999999999</v>
      </c>
      <c r="R150" s="11">
        <f t="shared" ca="1" si="36"/>
        <v>36</v>
      </c>
      <c r="S150" s="11">
        <f t="shared" ca="1" si="37"/>
        <v>1296</v>
      </c>
      <c r="T150" s="11">
        <f t="shared" ca="1" si="29"/>
        <v>75.96999999999997</v>
      </c>
      <c r="U150" s="11">
        <f t="shared" ca="1" si="29"/>
        <v>5771.440899999996</v>
      </c>
      <c r="V150" s="11">
        <f t="shared" ca="1" si="38"/>
        <v>2734.9199999999992</v>
      </c>
    </row>
    <row r="151" spans="1:22" x14ac:dyDescent="0.3">
      <c r="A151" s="11">
        <f ca="1">'FALL 5'!A151</f>
        <v>96.792694727048797</v>
      </c>
      <c r="B151" s="11">
        <f ca="1">'FALL 5'!B151</f>
        <v>70.917425780520034</v>
      </c>
      <c r="C151" s="11">
        <f>'FALL 3'!C151</f>
        <v>78</v>
      </c>
      <c r="D151" s="11">
        <f ca="1">IF(C151=0,"",(B151*0.01*(B35)+K78))</f>
        <v>71.208251522714832</v>
      </c>
      <c r="E151" s="11"/>
      <c r="F151" s="11">
        <f ca="1">IF(D151="","",(D151*((D22-F36)/(99-0))+F36))</f>
        <v>36.104125761357416</v>
      </c>
      <c r="G151" s="11">
        <f t="shared" ca="1" si="30"/>
        <v>71.208251522714832</v>
      </c>
      <c r="H151" s="50" t="str">
        <f ca="1">IF(I176=C151,I151,"")</f>
        <v/>
      </c>
      <c r="I151" s="11">
        <f t="shared" ca="1" si="31"/>
        <v>36.1</v>
      </c>
      <c r="J151" s="11"/>
      <c r="K151" s="11"/>
      <c r="L151" s="11">
        <f ca="1">IF(D151="","",(L150+2*L185))</f>
        <v>38.974999999999987</v>
      </c>
      <c r="M151" s="11">
        <f t="shared" ca="1" si="32"/>
        <v>36.1</v>
      </c>
      <c r="N151" s="11">
        <f t="shared" ca="1" si="33"/>
        <v>1303.21</v>
      </c>
      <c r="O151" s="11">
        <f ca="1">IF(D151="","",(L151*H39)+H38)</f>
        <v>76.949999999999974</v>
      </c>
      <c r="P151" s="11">
        <f t="shared" ca="1" si="34"/>
        <v>5921.3024999999961</v>
      </c>
      <c r="Q151" s="11">
        <f t="shared" ca="1" si="35"/>
        <v>2777.8949999999991</v>
      </c>
      <c r="R151" s="11">
        <f t="shared" ca="1" si="36"/>
        <v>36</v>
      </c>
      <c r="S151" s="11">
        <f t="shared" ca="1" si="37"/>
        <v>1296</v>
      </c>
      <c r="T151" s="11">
        <f t="shared" ca="1" si="29"/>
        <v>76.949999999999974</v>
      </c>
      <c r="U151" s="11">
        <f t="shared" ca="1" si="29"/>
        <v>5921.3024999999961</v>
      </c>
      <c r="V151" s="11">
        <f t="shared" ca="1" si="38"/>
        <v>2770.1999999999989</v>
      </c>
    </row>
    <row r="152" spans="1:22" x14ac:dyDescent="0.3">
      <c r="A152" s="11">
        <f ca="1">'FALL 5'!A152</f>
        <v>75.880495810393597</v>
      </c>
      <c r="B152" s="11">
        <f ca="1">'FALL 5'!B152</f>
        <v>73.350716253599742</v>
      </c>
      <c r="C152" s="11">
        <f>'FALL 3'!C152</f>
        <v>79</v>
      </c>
      <c r="D152" s="11">
        <f ca="1">IF(C152=0,"",(B152*0.01*(B35)+K78))</f>
        <v>73.617209091063742</v>
      </c>
      <c r="E152" s="11"/>
      <c r="F152" s="11">
        <f ca="1">IF(D152="","",(D152*((D22-F36)/(99-0))+F36))</f>
        <v>37.308604545531871</v>
      </c>
      <c r="G152" s="11">
        <f t="shared" ca="1" si="30"/>
        <v>73.617209091063742</v>
      </c>
      <c r="H152" s="50" t="str">
        <f ca="1">IF(I176=C152,I152,"")</f>
        <v/>
      </c>
      <c r="I152" s="11">
        <f t="shared" ca="1" si="31"/>
        <v>37.299999999999997</v>
      </c>
      <c r="J152" s="11"/>
      <c r="K152" s="11"/>
      <c r="L152" s="11">
        <f ca="1">IF(D152="","",(L151+2*L185))</f>
        <v>39.464999999999989</v>
      </c>
      <c r="M152" s="11">
        <f t="shared" ca="1" si="32"/>
        <v>37.299999999999997</v>
      </c>
      <c r="N152" s="11">
        <f t="shared" ca="1" si="33"/>
        <v>1391.2899999999997</v>
      </c>
      <c r="O152" s="11">
        <f ca="1">IF(D152="","",(L152*H39)+H38)</f>
        <v>77.929999999999978</v>
      </c>
      <c r="P152" s="11">
        <f t="shared" ca="1" si="34"/>
        <v>6073.0848999999962</v>
      </c>
      <c r="Q152" s="11">
        <f t="shared" ca="1" si="35"/>
        <v>2906.7889999999989</v>
      </c>
      <c r="R152" s="11">
        <f t="shared" ca="1" si="36"/>
        <v>37</v>
      </c>
      <c r="S152" s="11">
        <f t="shared" ca="1" si="37"/>
        <v>1369</v>
      </c>
      <c r="T152" s="11">
        <f t="shared" ca="1" si="29"/>
        <v>77.929999999999978</v>
      </c>
      <c r="U152" s="11">
        <f t="shared" ca="1" si="29"/>
        <v>6073.0848999999962</v>
      </c>
      <c r="V152" s="11">
        <f t="shared" ca="1" si="38"/>
        <v>2883.4099999999994</v>
      </c>
    </row>
    <row r="153" spans="1:22" x14ac:dyDescent="0.3">
      <c r="A153" s="11">
        <f ca="1">'FALL 5'!A153</f>
        <v>89.472758160042972</v>
      </c>
      <c r="B153" s="11">
        <f ca="1">'FALL 5'!B153</f>
        <v>75.343875189459823</v>
      </c>
      <c r="C153" s="11">
        <f>'FALL 3'!C153</f>
        <v>80</v>
      </c>
      <c r="D153" s="11">
        <f ca="1">IF(C153=0,"",(B153*0.01*(B35)+K78))</f>
        <v>75.590436437565216</v>
      </c>
      <c r="E153" s="11"/>
      <c r="F153" s="11">
        <f ca="1">IF(D153="","",(D153*((D22-F36)/(99-0))+F36))</f>
        <v>38.295218218782608</v>
      </c>
      <c r="G153" s="11">
        <f t="shared" ca="1" si="30"/>
        <v>75.590436437565216</v>
      </c>
      <c r="H153" s="50" t="str">
        <f ca="1">IF(I176=C153,I153,"")</f>
        <v/>
      </c>
      <c r="I153" s="11">
        <f t="shared" ca="1" si="31"/>
        <v>38.299999999999997</v>
      </c>
      <c r="J153" s="11"/>
      <c r="K153" s="11"/>
      <c r="L153" s="11">
        <f ca="1">IF(D153="","",(L152+2*L185))</f>
        <v>39.954999999999991</v>
      </c>
      <c r="M153" s="11">
        <f t="shared" ca="1" si="32"/>
        <v>38.299999999999997</v>
      </c>
      <c r="N153" s="11">
        <f t="shared" ca="1" si="33"/>
        <v>1466.8899999999999</v>
      </c>
      <c r="O153" s="11">
        <f ca="1">IF(D153="","",(L153*H39)+H38)</f>
        <v>78.909999999999982</v>
      </c>
      <c r="P153" s="11">
        <f t="shared" ca="1" si="34"/>
        <v>6226.788099999997</v>
      </c>
      <c r="Q153" s="11">
        <f t="shared" ca="1" si="35"/>
        <v>3022.2529999999992</v>
      </c>
      <c r="R153" s="11">
        <f t="shared" ca="1" si="36"/>
        <v>38</v>
      </c>
      <c r="S153" s="11">
        <f t="shared" ca="1" si="37"/>
        <v>1444</v>
      </c>
      <c r="T153" s="11">
        <f t="shared" ca="1" si="29"/>
        <v>78.909999999999982</v>
      </c>
      <c r="U153" s="11">
        <f t="shared" ca="1" si="29"/>
        <v>6226.788099999997</v>
      </c>
      <c r="V153" s="11">
        <f t="shared" ca="1" si="38"/>
        <v>2998.5799999999995</v>
      </c>
    </row>
    <row r="154" spans="1:22" x14ac:dyDescent="0.3">
      <c r="A154" s="11">
        <f ca="1">'FALL 5'!A154</f>
        <v>30.392788314351847</v>
      </c>
      <c r="B154" s="11">
        <f ca="1">'FALL 5'!B154</f>
        <v>75.433313687716009</v>
      </c>
      <c r="C154" s="11">
        <f>'FALL 3'!C154</f>
        <v>81</v>
      </c>
      <c r="D154" s="11">
        <f ca="1">IF(C154=0,"",(B154*0.01*(B35)+K78))</f>
        <v>75.678980550838844</v>
      </c>
      <c r="E154" s="11"/>
      <c r="F154" s="11">
        <f ca="1">IF(D154="","",(D154*((D22-F36)/(99-0))+F36))</f>
        <v>38.339490275419422</v>
      </c>
      <c r="G154" s="11">
        <f t="shared" ca="1" si="30"/>
        <v>75.678980550838844</v>
      </c>
      <c r="H154" s="50" t="str">
        <f ca="1">IF(I176=C154,I154,"")</f>
        <v/>
      </c>
      <c r="I154" s="11">
        <f t="shared" ca="1" si="31"/>
        <v>38.299999999999997</v>
      </c>
      <c r="J154" s="11"/>
      <c r="K154" s="11"/>
      <c r="L154" s="11">
        <f ca="1">IF(D154="","",(L153+2*L185))</f>
        <v>40.444999999999993</v>
      </c>
      <c r="M154" s="11">
        <f t="shared" ca="1" si="32"/>
        <v>38.299999999999997</v>
      </c>
      <c r="N154" s="11">
        <f t="shared" ca="1" si="33"/>
        <v>1466.8899999999999</v>
      </c>
      <c r="O154" s="11">
        <f ca="1">IF(D154="","",(L154*H39)+H38)</f>
        <v>79.889999999999986</v>
      </c>
      <c r="P154" s="11">
        <f t="shared" ca="1" si="34"/>
        <v>6382.4120999999977</v>
      </c>
      <c r="Q154" s="11">
        <f t="shared" ca="1" si="35"/>
        <v>3059.7869999999994</v>
      </c>
      <c r="R154" s="11">
        <f t="shared" ca="1" si="36"/>
        <v>38</v>
      </c>
      <c r="S154" s="11">
        <f t="shared" ca="1" si="37"/>
        <v>1444</v>
      </c>
      <c r="T154" s="11">
        <f t="shared" ref="T154:U173" ca="1" si="39">O154</f>
        <v>79.889999999999986</v>
      </c>
      <c r="U154" s="11">
        <f t="shared" ca="1" si="39"/>
        <v>6382.4120999999977</v>
      </c>
      <c r="V154" s="11">
        <f t="shared" ca="1" si="38"/>
        <v>3035.8199999999997</v>
      </c>
    </row>
    <row r="155" spans="1:22" x14ac:dyDescent="0.3">
      <c r="A155" s="11">
        <f ca="1">'FALL 5'!A155</f>
        <v>9.2836085325027931</v>
      </c>
      <c r="B155" s="11">
        <f ca="1">'FALL 5'!B155</f>
        <v>75.576022612968487</v>
      </c>
      <c r="C155" s="11">
        <f>'FALL 3'!C155</f>
        <v>82</v>
      </c>
      <c r="D155" s="11">
        <f ca="1">IF(C155=0,"",(B155*0.01*(B35)+K78))</f>
        <v>75.820262386838792</v>
      </c>
      <c r="E155" s="11"/>
      <c r="F155" s="11">
        <f ca="1">IF(D155="","",(D155*((D22-F36)/(99-0))+F36))</f>
        <v>38.410131193419396</v>
      </c>
      <c r="G155" s="11">
        <f t="shared" ca="1" si="30"/>
        <v>75.820262386838792</v>
      </c>
      <c r="H155" s="50" t="str">
        <f ca="1">IF(I176=C155,I155,"")</f>
        <v/>
      </c>
      <c r="I155" s="11">
        <f t="shared" ca="1" si="31"/>
        <v>38.4</v>
      </c>
      <c r="J155" s="11"/>
      <c r="K155" s="11"/>
      <c r="L155" s="11">
        <f ca="1">IF(D155="","",(L154+2*L185))</f>
        <v>40.934999999999995</v>
      </c>
      <c r="M155" s="11">
        <f t="shared" ca="1" si="32"/>
        <v>38.4</v>
      </c>
      <c r="N155" s="11">
        <f t="shared" ca="1" si="33"/>
        <v>1474.56</v>
      </c>
      <c r="O155" s="11">
        <f ca="1">IF(D155="","",(L155*H39)+H38)</f>
        <v>80.86999999999999</v>
      </c>
      <c r="P155" s="11">
        <f t="shared" ca="1" si="34"/>
        <v>6539.9568999999983</v>
      </c>
      <c r="Q155" s="11">
        <f t="shared" ca="1" si="35"/>
        <v>3105.4079999999994</v>
      </c>
      <c r="R155" s="11">
        <f t="shared" ca="1" si="36"/>
        <v>38</v>
      </c>
      <c r="S155" s="11">
        <f t="shared" ca="1" si="37"/>
        <v>1444</v>
      </c>
      <c r="T155" s="11">
        <f t="shared" ca="1" si="39"/>
        <v>80.86999999999999</v>
      </c>
      <c r="U155" s="11">
        <f t="shared" ca="1" si="39"/>
        <v>6539.9568999999983</v>
      </c>
      <c r="V155" s="11">
        <f t="shared" ca="1" si="38"/>
        <v>3073.0599999999995</v>
      </c>
    </row>
    <row r="156" spans="1:22" x14ac:dyDescent="0.3">
      <c r="A156" s="11">
        <f ca="1">'FALL 5'!A156</f>
        <v>50.172602681297342</v>
      </c>
      <c r="B156" s="11">
        <f ca="1">'FALL 5'!B156</f>
        <v>75.835971144184526</v>
      </c>
      <c r="C156" s="11">
        <f>'FALL 3'!C156</f>
        <v>83</v>
      </c>
      <c r="D156" s="11">
        <f ca="1">IF(C156=0,"",(B156*0.01*(B35)+K78))</f>
        <v>76.077611432742671</v>
      </c>
      <c r="E156" s="11"/>
      <c r="F156" s="11">
        <f ca="1">IF(D156="","",(D156*((D22-F36)/(99-0))+F36))</f>
        <v>38.538805716371336</v>
      </c>
      <c r="G156" s="11">
        <f t="shared" ca="1" si="30"/>
        <v>76.077611432742671</v>
      </c>
      <c r="H156" s="50" t="str">
        <f ca="1">IF(I176=C156,I156,"")</f>
        <v/>
      </c>
      <c r="I156" s="11">
        <f t="shared" ca="1" si="31"/>
        <v>38.5</v>
      </c>
      <c r="J156" s="11"/>
      <c r="K156" s="11"/>
      <c r="L156" s="11">
        <f ca="1">IF(D156="","",(L155+2*L185))</f>
        <v>41.424999999999997</v>
      </c>
      <c r="M156" s="11">
        <f t="shared" ca="1" si="32"/>
        <v>38.5</v>
      </c>
      <c r="N156" s="11">
        <f t="shared" ca="1" si="33"/>
        <v>1482.25</v>
      </c>
      <c r="O156" s="11">
        <f ca="1">IF(D156="","",(L156*H39)+H38)</f>
        <v>81.849999999999994</v>
      </c>
      <c r="P156" s="11">
        <f t="shared" ca="1" si="34"/>
        <v>6699.4224999999988</v>
      </c>
      <c r="Q156" s="11">
        <f t="shared" ca="1" si="35"/>
        <v>3151.2249999999999</v>
      </c>
      <c r="R156" s="11">
        <f t="shared" ca="1" si="36"/>
        <v>39</v>
      </c>
      <c r="S156" s="11">
        <f t="shared" ca="1" si="37"/>
        <v>1521</v>
      </c>
      <c r="T156" s="11">
        <f t="shared" ca="1" si="39"/>
        <v>81.849999999999994</v>
      </c>
      <c r="U156" s="11">
        <f t="shared" ca="1" si="39"/>
        <v>6699.4224999999988</v>
      </c>
      <c r="V156" s="11">
        <f t="shared" ca="1" si="38"/>
        <v>3192.1499999999996</v>
      </c>
    </row>
    <row r="157" spans="1:22" x14ac:dyDescent="0.3">
      <c r="A157" s="11">
        <f ca="1">'FALL 5'!A157</f>
        <v>66.653251272831909</v>
      </c>
      <c r="B157" s="11">
        <f ca="1">'FALL 5'!B157</f>
        <v>75.880495810393597</v>
      </c>
      <c r="C157" s="11">
        <f>'FALL 3'!C157</f>
        <v>84</v>
      </c>
      <c r="D157" s="11">
        <f ca="1">IF(C157=0,"",(B157*0.01*(B35)+K78))</f>
        <v>76.12169085228966</v>
      </c>
      <c r="E157" s="11"/>
      <c r="F157" s="11">
        <f ca="1">IF(D157="","",(D157*((D22-F36)/(99-0))+F36))</f>
        <v>38.56084542614483</v>
      </c>
      <c r="G157" s="11">
        <f t="shared" ca="1" si="30"/>
        <v>76.12169085228966</v>
      </c>
      <c r="H157" s="50" t="str">
        <f ca="1">IF(I176=C157,I157,"")</f>
        <v/>
      </c>
      <c r="I157" s="11">
        <f t="shared" ca="1" si="31"/>
        <v>38.6</v>
      </c>
      <c r="J157" s="11"/>
      <c r="K157" s="11"/>
      <c r="L157" s="11">
        <f ca="1">IF(D157="","",(L156+2*L185))</f>
        <v>41.914999999999999</v>
      </c>
      <c r="M157" s="11">
        <f t="shared" ca="1" si="32"/>
        <v>38.6</v>
      </c>
      <c r="N157" s="11">
        <f t="shared" ca="1" si="33"/>
        <v>1489.96</v>
      </c>
      <c r="O157" s="11">
        <f ca="1">IF(D157="","",(L157*H39)+H38)</f>
        <v>82.83</v>
      </c>
      <c r="P157" s="11">
        <f t="shared" ca="1" si="34"/>
        <v>6860.8089</v>
      </c>
      <c r="Q157" s="11">
        <f t="shared" ca="1" si="35"/>
        <v>3197.2379999999998</v>
      </c>
      <c r="R157" s="11">
        <f t="shared" ca="1" si="36"/>
        <v>39</v>
      </c>
      <c r="S157" s="11">
        <f t="shared" ca="1" si="37"/>
        <v>1521</v>
      </c>
      <c r="T157" s="11">
        <f t="shared" ca="1" si="39"/>
        <v>82.83</v>
      </c>
      <c r="U157" s="11">
        <f t="shared" ca="1" si="39"/>
        <v>6860.8089</v>
      </c>
      <c r="V157" s="11">
        <f t="shared" ca="1" si="38"/>
        <v>3230.37</v>
      </c>
    </row>
    <row r="158" spans="1:22" x14ac:dyDescent="0.3">
      <c r="A158" s="11">
        <f ca="1">'FALL 5'!A158</f>
        <v>82.127885467203029</v>
      </c>
      <c r="B158" s="11">
        <f ca="1">'FALL 5'!B158</f>
        <v>77.294214300749587</v>
      </c>
      <c r="C158" s="11">
        <f>'FALL 3'!C158</f>
        <v>85</v>
      </c>
      <c r="D158" s="11">
        <f ca="1">IF(C158=0,"",(B158*0.01*(B35)+K78))</f>
        <v>77.521272157742075</v>
      </c>
      <c r="E158" s="11"/>
      <c r="F158" s="11">
        <f ca="1">IF(D158="","",(D158*((D22-F36)/(99-0))+F36))</f>
        <v>39.260636078871038</v>
      </c>
      <c r="G158" s="11">
        <f t="shared" ca="1" si="30"/>
        <v>77.521272157742075</v>
      </c>
      <c r="H158" s="50" t="str">
        <f ca="1">IF(I176=C158,I158,"")</f>
        <v/>
      </c>
      <c r="I158" s="11">
        <f t="shared" ca="1" si="31"/>
        <v>39.299999999999997</v>
      </c>
      <c r="J158" s="11"/>
      <c r="K158" s="11"/>
      <c r="L158" s="11">
        <f ca="1">IF(D158="","",(L157+2*L185))</f>
        <v>42.405000000000001</v>
      </c>
      <c r="M158" s="11">
        <f t="shared" ca="1" si="32"/>
        <v>39.299999999999997</v>
      </c>
      <c r="N158" s="11">
        <f t="shared" ca="1" si="33"/>
        <v>1544.4899999999998</v>
      </c>
      <c r="O158" s="11">
        <f ca="1">IF(D158="","",(L158*H39)+H38)</f>
        <v>83.81</v>
      </c>
      <c r="P158" s="11">
        <f t="shared" ca="1" si="34"/>
        <v>7024.1161000000002</v>
      </c>
      <c r="Q158" s="11">
        <f t="shared" ca="1" si="35"/>
        <v>3293.7329999999997</v>
      </c>
      <c r="R158" s="11">
        <f t="shared" ca="1" si="36"/>
        <v>39</v>
      </c>
      <c r="S158" s="11">
        <f t="shared" ca="1" si="37"/>
        <v>1521</v>
      </c>
      <c r="T158" s="11">
        <f t="shared" ca="1" si="39"/>
        <v>83.81</v>
      </c>
      <c r="U158" s="11">
        <f t="shared" ca="1" si="39"/>
        <v>7024.1161000000002</v>
      </c>
      <c r="V158" s="11">
        <f t="shared" ca="1" si="38"/>
        <v>3268.59</v>
      </c>
    </row>
    <row r="159" spans="1:22" x14ac:dyDescent="0.3">
      <c r="A159" s="11">
        <f ca="1">'FALL 5'!A159</f>
        <v>92.069005416099401</v>
      </c>
      <c r="B159" s="11">
        <f ca="1">'FALL 5'!B159</f>
        <v>78.113730407507262</v>
      </c>
      <c r="C159" s="11">
        <f>'FALL 3'!C159</f>
        <v>86</v>
      </c>
      <c r="D159" s="11">
        <f ca="1">IF(C159=0,"",(B159*0.01*(B35)+K78))</f>
        <v>78.332593103432174</v>
      </c>
      <c r="E159" s="11"/>
      <c r="F159" s="11">
        <f ca="1">IF(D159="","",(D159*((D22-F36)/(99-0))+F36))</f>
        <v>39.666296551716087</v>
      </c>
      <c r="G159" s="11">
        <f t="shared" ca="1" si="30"/>
        <v>78.332593103432174</v>
      </c>
      <c r="H159" s="50" t="str">
        <f ca="1">IF(I176=C159,I159,"")</f>
        <v/>
      </c>
      <c r="I159" s="11">
        <f t="shared" ca="1" si="31"/>
        <v>39.700000000000003</v>
      </c>
      <c r="J159" s="11"/>
      <c r="K159" s="11"/>
      <c r="L159" s="11">
        <f ca="1">IF(D159="","",(L158+2*L185))</f>
        <v>42.895000000000003</v>
      </c>
      <c r="M159" s="11">
        <f t="shared" ca="1" si="32"/>
        <v>39.700000000000003</v>
      </c>
      <c r="N159" s="11">
        <f t="shared" ca="1" si="33"/>
        <v>1576.0900000000001</v>
      </c>
      <c r="O159" s="11">
        <f ca="1">IF(D159="","",(L159*H39)+H38)</f>
        <v>84.79</v>
      </c>
      <c r="P159" s="11">
        <f t="shared" ca="1" si="34"/>
        <v>7189.3441000000012</v>
      </c>
      <c r="Q159" s="11">
        <f t="shared" ca="1" si="35"/>
        <v>3366.1630000000005</v>
      </c>
      <c r="R159" s="11">
        <f t="shared" ca="1" si="36"/>
        <v>40</v>
      </c>
      <c r="S159" s="11">
        <f t="shared" ca="1" si="37"/>
        <v>1600</v>
      </c>
      <c r="T159" s="11">
        <f t="shared" ca="1" si="39"/>
        <v>84.79</v>
      </c>
      <c r="U159" s="11">
        <f t="shared" ca="1" si="39"/>
        <v>7189.3441000000012</v>
      </c>
      <c r="V159" s="11">
        <f t="shared" ca="1" si="38"/>
        <v>3391.6000000000004</v>
      </c>
    </row>
    <row r="160" spans="1:22" x14ac:dyDescent="0.3">
      <c r="A160" s="11">
        <f ca="1">'FALL 5'!A160</f>
        <v>3.6249997631134772</v>
      </c>
      <c r="B160" s="11">
        <f ca="1">'FALL 5'!B160</f>
        <v>79.584477650595773</v>
      </c>
      <c r="C160" s="11">
        <f>'FALL 3'!C160</f>
        <v>87</v>
      </c>
      <c r="D160" s="11">
        <f ca="1">IF(C160=0,"",(B160*0.01*(B35)+K78))</f>
        <v>79.788632874089799</v>
      </c>
      <c r="E160" s="11"/>
      <c r="F160" s="11">
        <f ca="1">IF(D160="","",(D160*((D22-F36)/(99-0))+F36))</f>
        <v>40.3943164370449</v>
      </c>
      <c r="G160" s="11">
        <f t="shared" ca="1" si="30"/>
        <v>79.788632874089799</v>
      </c>
      <c r="H160" s="50" t="str">
        <f ca="1">IF(I176=C160,I160,"")</f>
        <v/>
      </c>
      <c r="I160" s="11">
        <f t="shared" ca="1" si="31"/>
        <v>40.4</v>
      </c>
      <c r="J160" s="11"/>
      <c r="K160" s="11"/>
      <c r="L160" s="11">
        <f ca="1">IF(D160="","",(L159+2*L185))</f>
        <v>43.385000000000005</v>
      </c>
      <c r="M160" s="11">
        <f t="shared" ca="1" si="32"/>
        <v>40.4</v>
      </c>
      <c r="N160" s="11">
        <f t="shared" ca="1" si="33"/>
        <v>1632.1599999999999</v>
      </c>
      <c r="O160" s="11">
        <f ca="1">IF(D160="","",(L160*H39)+H38)</f>
        <v>85.77000000000001</v>
      </c>
      <c r="P160" s="11">
        <f t="shared" ca="1" si="34"/>
        <v>7356.492900000002</v>
      </c>
      <c r="Q160" s="11">
        <f t="shared" ca="1" si="35"/>
        <v>3465.1080000000002</v>
      </c>
      <c r="R160" s="11">
        <f t="shared" ca="1" si="36"/>
        <v>40</v>
      </c>
      <c r="S160" s="11">
        <f t="shared" ca="1" si="37"/>
        <v>1600</v>
      </c>
      <c r="T160" s="11">
        <f t="shared" ca="1" si="39"/>
        <v>85.77000000000001</v>
      </c>
      <c r="U160" s="11">
        <f t="shared" ca="1" si="39"/>
        <v>7356.492900000002</v>
      </c>
      <c r="V160" s="11">
        <f t="shared" ca="1" si="38"/>
        <v>3430.8</v>
      </c>
    </row>
    <row r="161" spans="1:41" x14ac:dyDescent="0.3">
      <c r="A161" s="11">
        <f ca="1">'FALL 5'!A161</f>
        <v>20.477118628301223</v>
      </c>
      <c r="B161" s="11">
        <f ca="1">'FALL 5'!B161</f>
        <v>82.127885467203029</v>
      </c>
      <c r="C161" s="11">
        <f>'FALL 3'!C161</f>
        <v>88</v>
      </c>
      <c r="D161" s="49">
        <f ca="1">IF(C161=0,"",(B161*0.01*(B35)+K78))</f>
        <v>82.306606612530985</v>
      </c>
      <c r="E161" s="11"/>
      <c r="F161" s="11">
        <f ca="1">IF(D161="","",(D161*((D22-F36)/(99-0))+F36))</f>
        <v>41.653303306265492</v>
      </c>
      <c r="G161" s="11">
        <f t="shared" ca="1" si="30"/>
        <v>82.306606612530985</v>
      </c>
      <c r="H161" s="50" t="str">
        <f ca="1">IF(I176=C161,I161,"")</f>
        <v/>
      </c>
      <c r="I161" s="11">
        <f t="shared" ca="1" si="31"/>
        <v>41.7</v>
      </c>
      <c r="J161" s="11"/>
      <c r="K161" s="11"/>
      <c r="L161" s="11">
        <f ca="1">IF(D161="","",(L160+2*L185))</f>
        <v>43.875000000000007</v>
      </c>
      <c r="M161" s="11">
        <f t="shared" ca="1" si="32"/>
        <v>41.7</v>
      </c>
      <c r="N161" s="11">
        <f t="shared" ca="1" si="33"/>
        <v>1738.8900000000003</v>
      </c>
      <c r="O161" s="11">
        <f ca="1">IF(D161="","",(L161*H39)+H38)</f>
        <v>86.750000000000014</v>
      </c>
      <c r="P161" s="11">
        <f t="shared" ca="1" si="34"/>
        <v>7525.5625000000027</v>
      </c>
      <c r="Q161" s="11">
        <f t="shared" ca="1" si="35"/>
        <v>3617.4750000000008</v>
      </c>
      <c r="R161" s="11">
        <f t="shared" ca="1" si="36"/>
        <v>42</v>
      </c>
      <c r="S161" s="11">
        <f t="shared" ca="1" si="37"/>
        <v>1764</v>
      </c>
      <c r="T161" s="11">
        <f t="shared" ca="1" si="39"/>
        <v>86.750000000000014</v>
      </c>
      <c r="U161" s="11">
        <f t="shared" ca="1" si="39"/>
        <v>7525.5625000000027</v>
      </c>
      <c r="V161" s="11">
        <f t="shared" ca="1" si="38"/>
        <v>3643.5000000000005</v>
      </c>
    </row>
    <row r="162" spans="1:41" x14ac:dyDescent="0.3">
      <c r="A162" s="11">
        <f ca="1">'FALL 5'!A162</f>
        <v>30.123378148520377</v>
      </c>
      <c r="B162" s="11">
        <f ca="1">'FALL 5'!B162</f>
        <v>82.170865037115789</v>
      </c>
      <c r="C162" s="11">
        <f>'FALL 3'!C162</f>
        <v>89</v>
      </c>
      <c r="D162" s="11">
        <f ca="1">IF(C162=0,"",(B162*0.01*(B35)+K78))</f>
        <v>82.349156386744625</v>
      </c>
      <c r="E162" s="11"/>
      <c r="F162" s="11">
        <f ca="1">IF(D162="","",(D162*((D22-F36)/(99-0))+F36))</f>
        <v>41.674578193372312</v>
      </c>
      <c r="G162" s="11">
        <f t="shared" ca="1" si="30"/>
        <v>82.349156386744625</v>
      </c>
      <c r="H162" s="50" t="str">
        <f ca="1">IF(I176=C162,I162,"")</f>
        <v/>
      </c>
      <c r="I162" s="11">
        <f t="shared" ca="1" si="31"/>
        <v>41.7</v>
      </c>
      <c r="J162" s="11"/>
      <c r="K162" s="11"/>
      <c r="L162" s="11">
        <f ca="1">IF(D162="","",(L161+2*L185))</f>
        <v>44.365000000000009</v>
      </c>
      <c r="M162" s="11">
        <f t="shared" ca="1" si="32"/>
        <v>41.7</v>
      </c>
      <c r="N162" s="11">
        <f t="shared" ca="1" si="33"/>
        <v>1738.8900000000003</v>
      </c>
      <c r="O162" s="11">
        <f ca="1">IF(D162="","",(L162*H39)+H38)</f>
        <v>87.730000000000018</v>
      </c>
      <c r="P162" s="11">
        <f t="shared" ca="1" si="34"/>
        <v>7696.5529000000033</v>
      </c>
      <c r="Q162" s="11">
        <f t="shared" ca="1" si="35"/>
        <v>3658.3410000000008</v>
      </c>
      <c r="R162" s="11">
        <f t="shared" ca="1" si="36"/>
        <v>42</v>
      </c>
      <c r="S162" s="11">
        <f t="shared" ca="1" si="37"/>
        <v>1764</v>
      </c>
      <c r="T162" s="11">
        <f t="shared" ca="1" si="39"/>
        <v>87.730000000000018</v>
      </c>
      <c r="U162" s="11">
        <f t="shared" ca="1" si="39"/>
        <v>7696.5529000000033</v>
      </c>
      <c r="V162" s="11">
        <f t="shared" ca="1" si="38"/>
        <v>3684.6600000000008</v>
      </c>
    </row>
    <row r="163" spans="1:41" x14ac:dyDescent="0.3">
      <c r="A163" s="11">
        <f ca="1">'FALL 5'!A163</f>
        <v>98.068589609092214</v>
      </c>
      <c r="B163" s="11">
        <f ca="1">'FALL 5'!B163</f>
        <v>82.652071906329411</v>
      </c>
      <c r="C163" s="11">
        <f>'FALL 3'!C163</f>
        <v>90</v>
      </c>
      <c r="D163" s="11">
        <f ca="1">IF(C163=0,"",(B163*0.01*(B35)+K78))</f>
        <v>82.825551187266115</v>
      </c>
      <c r="E163" s="11"/>
      <c r="F163" s="11">
        <f ca="1">IF(D163="","",(D163*((D22-F36)/(99-0))+F36))</f>
        <v>41.912775593633057</v>
      </c>
      <c r="G163" s="11">
        <f t="shared" ca="1" si="30"/>
        <v>82.825551187266115</v>
      </c>
      <c r="H163" s="50" t="str">
        <f ca="1">IF(I176=C163,I163,"")</f>
        <v/>
      </c>
      <c r="I163" s="11">
        <f t="shared" ca="1" si="31"/>
        <v>41.9</v>
      </c>
      <c r="J163" s="11"/>
      <c r="K163" s="11"/>
      <c r="L163" s="11">
        <f ca="1">IF(D163="","",(L162+2*L185))</f>
        <v>44.855000000000011</v>
      </c>
      <c r="M163" s="11">
        <f t="shared" ca="1" si="32"/>
        <v>41.9</v>
      </c>
      <c r="N163" s="11">
        <f t="shared" ca="1" si="33"/>
        <v>1755.61</v>
      </c>
      <c r="O163" s="11">
        <f ca="1">IF(D163="","",(L163*H39)+H38)</f>
        <v>88.710000000000022</v>
      </c>
      <c r="P163" s="11">
        <f t="shared" ca="1" si="34"/>
        <v>7869.4641000000038</v>
      </c>
      <c r="Q163" s="11">
        <f t="shared" ca="1" si="35"/>
        <v>3716.949000000001</v>
      </c>
      <c r="R163" s="11">
        <f t="shared" ca="1" si="36"/>
        <v>42</v>
      </c>
      <c r="S163" s="11">
        <f t="shared" ca="1" si="37"/>
        <v>1764</v>
      </c>
      <c r="T163" s="11">
        <f t="shared" ca="1" si="39"/>
        <v>88.710000000000022</v>
      </c>
      <c r="U163" s="11">
        <f t="shared" ca="1" si="39"/>
        <v>7869.4641000000038</v>
      </c>
      <c r="V163" s="11">
        <f t="shared" ca="1" si="38"/>
        <v>3725.8200000000011</v>
      </c>
    </row>
    <row r="164" spans="1:41" x14ac:dyDescent="0.3">
      <c r="A164" s="11">
        <f ca="1">'FALL 5'!A164</f>
        <v>26.935136806361843</v>
      </c>
      <c r="B164" s="11">
        <f ca="1">'FALL 5'!B164</f>
        <v>82.996098998149179</v>
      </c>
      <c r="C164" s="11">
        <f>'FALL 3'!C164</f>
        <v>91</v>
      </c>
      <c r="D164" s="11">
        <f ca="1">IF(C164=0,"",(B164*0.01*(B35)+K78))</f>
        <v>83.166138008167678</v>
      </c>
      <c r="E164" s="11"/>
      <c r="F164" s="11">
        <f ca="1">IF(D164="","",(D164*((D22-F36)/(99-0))+F36))</f>
        <v>42.083069004083839</v>
      </c>
      <c r="G164" s="11">
        <f t="shared" ca="1" si="30"/>
        <v>83.166138008167678</v>
      </c>
      <c r="H164" s="50" t="str">
        <f ca="1">IF(I176=C164,I164,"")</f>
        <v/>
      </c>
      <c r="I164" s="11">
        <f t="shared" ca="1" si="31"/>
        <v>42.1</v>
      </c>
      <c r="J164" s="11"/>
      <c r="K164" s="11"/>
      <c r="L164" s="11">
        <f ca="1">IF(D164="","",(L163+2*L185))</f>
        <v>45.345000000000013</v>
      </c>
      <c r="M164" s="11">
        <f t="shared" ca="1" si="32"/>
        <v>42.1</v>
      </c>
      <c r="N164" s="11">
        <f t="shared" ca="1" si="33"/>
        <v>1772.41</v>
      </c>
      <c r="O164" s="11">
        <f ca="1">IF(D164="","",(L164*H39)+H38)</f>
        <v>89.690000000000026</v>
      </c>
      <c r="P164" s="11">
        <f t="shared" ca="1" si="34"/>
        <v>8044.296100000005</v>
      </c>
      <c r="Q164" s="11">
        <f t="shared" ca="1" si="35"/>
        <v>3775.9490000000014</v>
      </c>
      <c r="R164" s="11">
        <f t="shared" ca="1" si="36"/>
        <v>42</v>
      </c>
      <c r="S164" s="11">
        <f t="shared" ca="1" si="37"/>
        <v>1764</v>
      </c>
      <c r="T164" s="11">
        <f t="shared" ca="1" si="39"/>
        <v>89.690000000000026</v>
      </c>
      <c r="U164" s="11">
        <f t="shared" ca="1" si="39"/>
        <v>8044.296100000005</v>
      </c>
      <c r="V164" s="11">
        <f t="shared" ca="1" si="38"/>
        <v>3766.9800000000009</v>
      </c>
    </row>
    <row r="165" spans="1:41" x14ac:dyDescent="0.3">
      <c r="A165" s="11">
        <f ca="1">'FALL 5'!A165</f>
        <v>4.3786339455653129</v>
      </c>
      <c r="B165" s="11">
        <f ca="1">'FALL 5'!B165</f>
        <v>88.960234235886745</v>
      </c>
      <c r="C165" s="11">
        <f>'FALL 3'!C165</f>
        <v>92</v>
      </c>
      <c r="D165" s="11">
        <f ca="1">IF(C165=0,"",(B165*0.01*(B35)+K78))</f>
        <v>89.070631893527874</v>
      </c>
      <c r="E165" s="11"/>
      <c r="F165" s="11">
        <f ca="1">IF(D165="","",(D165*((D22-F36)/(99-0))+F36))</f>
        <v>45.035315946763937</v>
      </c>
      <c r="G165" s="11">
        <f t="shared" ca="1" si="30"/>
        <v>89.070631893527874</v>
      </c>
      <c r="H165" s="50" t="str">
        <f ca="1">IF(I176=C165,I165,"")</f>
        <v/>
      </c>
      <c r="I165" s="11">
        <f t="shared" ca="1" si="31"/>
        <v>45</v>
      </c>
      <c r="J165" s="11"/>
      <c r="K165" s="11"/>
      <c r="L165" s="11">
        <f ca="1">IF(D165="","",(L164+2*L185))</f>
        <v>45.835000000000015</v>
      </c>
      <c r="M165" s="11">
        <f t="shared" ca="1" si="32"/>
        <v>45</v>
      </c>
      <c r="N165" s="11">
        <f t="shared" ca="1" si="33"/>
        <v>2025</v>
      </c>
      <c r="O165" s="11">
        <f ca="1">IF(D165="","",(L165*H39)+H38)</f>
        <v>90.67000000000003</v>
      </c>
      <c r="P165" s="11">
        <f t="shared" ca="1" si="34"/>
        <v>8221.0489000000052</v>
      </c>
      <c r="Q165" s="11">
        <f t="shared" ca="1" si="35"/>
        <v>4080.1500000000015</v>
      </c>
      <c r="R165" s="11">
        <f t="shared" ca="1" si="36"/>
        <v>45</v>
      </c>
      <c r="S165" s="11">
        <f t="shared" ca="1" si="37"/>
        <v>2025</v>
      </c>
      <c r="T165" s="11">
        <f t="shared" ca="1" si="39"/>
        <v>90.67000000000003</v>
      </c>
      <c r="U165" s="11">
        <f t="shared" ca="1" si="39"/>
        <v>8221.0489000000052</v>
      </c>
      <c r="V165" s="11">
        <f t="shared" ca="1" si="38"/>
        <v>4080.1500000000015</v>
      </c>
    </row>
    <row r="166" spans="1:41" x14ac:dyDescent="0.3">
      <c r="A166" s="11">
        <f ca="1">'FALL 5'!A166</f>
        <v>79.584477650595773</v>
      </c>
      <c r="B166" s="11">
        <f ca="1">'FALL 5'!B166</f>
        <v>89.472758160042972</v>
      </c>
      <c r="C166" s="11">
        <f>'FALL 3'!C166</f>
        <v>93</v>
      </c>
      <c r="D166" s="11">
        <f ca="1">IF(C166=0,"",(B166*0.01*(B35)+K78))</f>
        <v>89.578030578442537</v>
      </c>
      <c r="E166" s="11"/>
      <c r="F166" s="11">
        <f ca="1">IF(D166="","",(D166*((D22-F36)/(99-0))+F36))</f>
        <v>45.289015289221268</v>
      </c>
      <c r="G166" s="11">
        <f t="shared" ca="1" si="30"/>
        <v>89.578030578442537</v>
      </c>
      <c r="H166" s="50" t="str">
        <f ca="1">IF(I176=C166,I166,"")</f>
        <v/>
      </c>
      <c r="I166" s="11">
        <f t="shared" ca="1" si="31"/>
        <v>45.3</v>
      </c>
      <c r="J166" s="11"/>
      <c r="K166" s="11"/>
      <c r="L166" s="11">
        <f ca="1">IF(D166="","",(L165+2*L185))</f>
        <v>46.325000000000017</v>
      </c>
      <c r="M166" s="11">
        <f t="shared" ca="1" si="32"/>
        <v>45.3</v>
      </c>
      <c r="N166" s="11">
        <f t="shared" ca="1" si="33"/>
        <v>2052.0899999999997</v>
      </c>
      <c r="O166" s="11">
        <f ca="1">IF(D166="","",(L166*H39)+H38)</f>
        <v>91.650000000000034</v>
      </c>
      <c r="P166" s="11">
        <f t="shared" ca="1" si="34"/>
        <v>8399.7225000000071</v>
      </c>
      <c r="Q166" s="11">
        <f t="shared" ca="1" si="35"/>
        <v>4151.7450000000017</v>
      </c>
      <c r="R166" s="11">
        <f t="shared" ca="1" si="36"/>
        <v>45</v>
      </c>
      <c r="S166" s="11">
        <f t="shared" ca="1" si="37"/>
        <v>2025</v>
      </c>
      <c r="T166" s="11">
        <f t="shared" ca="1" si="39"/>
        <v>91.650000000000034</v>
      </c>
      <c r="U166" s="11">
        <f t="shared" ca="1" si="39"/>
        <v>8399.7225000000071</v>
      </c>
      <c r="V166" s="11">
        <f t="shared" ca="1" si="38"/>
        <v>4124.2500000000018</v>
      </c>
    </row>
    <row r="167" spans="1:41" x14ac:dyDescent="0.3">
      <c r="A167" s="11">
        <f ca="1">'FALL 5'!A167</f>
        <v>45.645021212545792</v>
      </c>
      <c r="B167" s="11">
        <f ca="1">'FALL 5'!B167</f>
        <v>91.754603360121138</v>
      </c>
      <c r="C167" s="11">
        <f>'FALL 3'!C167</f>
        <v>94</v>
      </c>
      <c r="D167" s="11">
        <f ca="1">IF(C167=0,"",(B167*0.01*(B35)+K78))</f>
        <v>91.837057326519911</v>
      </c>
      <c r="E167" s="11"/>
      <c r="F167" s="11">
        <f ca="1">IF(D167="","",(D167*((D22-F36)/(99-0))+F36))</f>
        <v>46.418528663259956</v>
      </c>
      <c r="G167" s="11">
        <f t="shared" ca="1" si="30"/>
        <v>91.837057326519911</v>
      </c>
      <c r="H167" s="50" t="str">
        <f ca="1">IF(I176=C167,I167,"")</f>
        <v/>
      </c>
      <c r="I167" s="11">
        <f t="shared" ca="1" si="31"/>
        <v>46.4</v>
      </c>
      <c r="J167" s="11"/>
      <c r="K167" s="11"/>
      <c r="L167" s="11">
        <f ca="1">IF(D167="","",(L166+2*L185))</f>
        <v>46.815000000000019</v>
      </c>
      <c r="M167" s="11">
        <f t="shared" ca="1" si="32"/>
        <v>46.4</v>
      </c>
      <c r="N167" s="11">
        <f t="shared" ca="1" si="33"/>
        <v>2152.96</v>
      </c>
      <c r="O167" s="11">
        <f ca="1">IF(D167="","",(L167*H39)+H38)</f>
        <v>92.630000000000038</v>
      </c>
      <c r="P167" s="11">
        <f t="shared" ca="1" si="34"/>
        <v>8580.3169000000071</v>
      </c>
      <c r="Q167" s="11">
        <f t="shared" ca="1" si="35"/>
        <v>4298.032000000002</v>
      </c>
      <c r="R167" s="11">
        <f t="shared" ca="1" si="36"/>
        <v>46</v>
      </c>
      <c r="S167" s="11">
        <f t="shared" ca="1" si="37"/>
        <v>2116</v>
      </c>
      <c r="T167" s="11">
        <f t="shared" ca="1" si="39"/>
        <v>92.630000000000038</v>
      </c>
      <c r="U167" s="11">
        <f t="shared" ca="1" si="39"/>
        <v>8580.3169000000071</v>
      </c>
      <c r="V167" s="11">
        <f t="shared" ca="1" si="38"/>
        <v>4260.9800000000014</v>
      </c>
    </row>
    <row r="168" spans="1:41" x14ac:dyDescent="0.3">
      <c r="A168" s="11">
        <f ca="1">'FALL 5'!A168</f>
        <v>45.096774778301601</v>
      </c>
      <c r="B168" s="11">
        <f ca="1">'FALL 5'!B168</f>
        <v>92.069005416099401</v>
      </c>
      <c r="C168" s="11">
        <f>'FALL 3'!C168</f>
        <v>95</v>
      </c>
      <c r="D168" s="11">
        <f ca="1">IF(C168=0,"",(B168*0.01*(B35)+K78))</f>
        <v>92.148315361938401</v>
      </c>
      <c r="E168" s="11"/>
      <c r="F168" s="11">
        <f ca="1">IF(D168="","",(D168*((D22-F36)/(99-0))+F36))</f>
        <v>46.574157680969201</v>
      </c>
      <c r="G168" s="11">
        <f t="shared" ca="1" si="30"/>
        <v>92.148315361938401</v>
      </c>
      <c r="H168" s="50" t="str">
        <f ca="1">IF(I176=C168,I168,"")</f>
        <v/>
      </c>
      <c r="I168" s="11">
        <f t="shared" ca="1" si="31"/>
        <v>46.6</v>
      </c>
      <c r="J168" s="11"/>
      <c r="K168" s="11"/>
      <c r="L168" s="11">
        <f ca="1">IF(D168="","",(L167+2*L185))</f>
        <v>47.305000000000021</v>
      </c>
      <c r="M168" s="11">
        <f t="shared" ca="1" si="32"/>
        <v>46.6</v>
      </c>
      <c r="N168" s="11">
        <f t="shared" ca="1" si="33"/>
        <v>2171.56</v>
      </c>
      <c r="O168" s="11">
        <f ca="1">IF(D168="","",(L168*H39)+H38)</f>
        <v>93.610000000000042</v>
      </c>
      <c r="P168" s="11">
        <f t="shared" ca="1" si="34"/>
        <v>8762.8321000000087</v>
      </c>
      <c r="Q168" s="11">
        <f t="shared" ca="1" si="35"/>
        <v>4362.2260000000024</v>
      </c>
      <c r="R168" s="11">
        <f t="shared" ca="1" si="36"/>
        <v>47</v>
      </c>
      <c r="S168" s="11">
        <f t="shared" ca="1" si="37"/>
        <v>2209</v>
      </c>
      <c r="T168" s="11">
        <f t="shared" ca="1" si="39"/>
        <v>93.610000000000042</v>
      </c>
      <c r="U168" s="11">
        <f t="shared" ca="1" si="39"/>
        <v>8762.8321000000087</v>
      </c>
      <c r="V168" s="11">
        <f t="shared" ca="1" si="38"/>
        <v>4399.6700000000019</v>
      </c>
    </row>
    <row r="169" spans="1:41" x14ac:dyDescent="0.3">
      <c r="A169" s="11">
        <f ca="1">'FALL 5'!A169</f>
        <v>70.917425780520034</v>
      </c>
      <c r="B169" s="11">
        <f ca="1">'FALL 5'!B169</f>
        <v>93.945212033707335</v>
      </c>
      <c r="C169" s="11">
        <f>'FALL 3'!C169</f>
        <v>96</v>
      </c>
      <c r="D169" s="11">
        <f ca="1">IF(C169=0,"",(B169*0.01*(B35)+K78))</f>
        <v>94.005759913370255</v>
      </c>
      <c r="E169" s="11"/>
      <c r="F169" s="11">
        <f ca="1">IF(D169="","",(D169*((D22-F36)/(99-0))+F36))</f>
        <v>47.502879956685128</v>
      </c>
      <c r="G169" s="11">
        <f t="shared" ca="1" si="30"/>
        <v>94.005759913370255</v>
      </c>
      <c r="H169" s="50" t="str">
        <f ca="1">IF(I176=C169,I169,"")</f>
        <v/>
      </c>
      <c r="I169" s="11">
        <f t="shared" ca="1" si="31"/>
        <v>47.5</v>
      </c>
      <c r="J169" s="11"/>
      <c r="K169" s="11"/>
      <c r="L169" s="11">
        <f ca="1">IF(D169="","",(L168+2*L185))</f>
        <v>47.795000000000023</v>
      </c>
      <c r="M169" s="11">
        <f t="shared" ca="1" si="32"/>
        <v>47.5</v>
      </c>
      <c r="N169" s="11">
        <f t="shared" ca="1" si="33"/>
        <v>2256.25</v>
      </c>
      <c r="O169" s="11">
        <f ca="1">IF(D169="","",(L169*H39)+H38)</f>
        <v>94.590000000000046</v>
      </c>
      <c r="P169" s="11">
        <f t="shared" ca="1" si="34"/>
        <v>8947.2681000000084</v>
      </c>
      <c r="Q169" s="11">
        <f t="shared" ca="1" si="35"/>
        <v>4493.0250000000024</v>
      </c>
      <c r="R169" s="11">
        <f t="shared" ca="1" si="36"/>
        <v>48</v>
      </c>
      <c r="S169" s="11">
        <f t="shared" ca="1" si="37"/>
        <v>2304</v>
      </c>
      <c r="T169" s="11">
        <f t="shared" ca="1" si="39"/>
        <v>94.590000000000046</v>
      </c>
      <c r="U169" s="11">
        <f t="shared" ca="1" si="39"/>
        <v>8947.2681000000084</v>
      </c>
      <c r="V169" s="11">
        <f t="shared" ca="1" si="38"/>
        <v>4540.3200000000024</v>
      </c>
    </row>
    <row r="170" spans="1:41" x14ac:dyDescent="0.3">
      <c r="A170" s="11">
        <f ca="1">'FALL 5'!A170</f>
        <v>91.754603360121138</v>
      </c>
      <c r="B170" s="11">
        <f ca="1">'FALL 5'!B170</f>
        <v>95.286660752850921</v>
      </c>
      <c r="C170" s="11">
        <f>'FALL 3'!C170</f>
        <v>97</v>
      </c>
      <c r="D170" s="11">
        <f ca="1">IF(C170=0,"",(B170*0.01*(B35)+K78))</f>
        <v>95.3337941453224</v>
      </c>
      <c r="E170" s="11"/>
      <c r="F170" s="11">
        <f ca="1">IF(D170="","",(D170*((D22-F36)/(99-0))+F36))</f>
        <v>48.1668970726612</v>
      </c>
      <c r="G170" s="11">
        <f t="shared" ca="1" si="30"/>
        <v>95.3337941453224</v>
      </c>
      <c r="H170" s="50" t="str">
        <f ca="1">IF(I176=C170,I170,"")</f>
        <v/>
      </c>
      <c r="I170" s="11">
        <f t="shared" ca="1" si="31"/>
        <v>48.2</v>
      </c>
      <c r="J170" s="11"/>
      <c r="K170" s="11"/>
      <c r="L170" s="11">
        <f ca="1">IF(D170="","",(L169+2*L185))</f>
        <v>48.285000000000025</v>
      </c>
      <c r="M170" s="11">
        <f t="shared" ca="1" si="32"/>
        <v>48.2</v>
      </c>
      <c r="N170" s="11">
        <f t="shared" ca="1" si="33"/>
        <v>2323.2400000000002</v>
      </c>
      <c r="O170" s="11">
        <f ca="1">IF(D170="","",(L170*H39)+H38)</f>
        <v>95.57000000000005</v>
      </c>
      <c r="P170" s="11">
        <f t="shared" ca="1" si="34"/>
        <v>9133.6249000000098</v>
      </c>
      <c r="Q170" s="11">
        <f t="shared" ca="1" si="35"/>
        <v>4606.4740000000029</v>
      </c>
      <c r="R170" s="11">
        <f t="shared" ca="1" si="36"/>
        <v>48</v>
      </c>
      <c r="S170" s="11">
        <f t="shared" ca="1" si="37"/>
        <v>2304</v>
      </c>
      <c r="T170" s="11">
        <f t="shared" ca="1" si="39"/>
        <v>95.57000000000005</v>
      </c>
      <c r="U170" s="11">
        <f t="shared" ca="1" si="39"/>
        <v>9133.6249000000098</v>
      </c>
      <c r="V170" s="11">
        <f t="shared" ca="1" si="38"/>
        <v>4587.3600000000024</v>
      </c>
    </row>
    <row r="171" spans="1:41" x14ac:dyDescent="0.3">
      <c r="A171" s="11">
        <f ca="1">'FALL 5'!A171</f>
        <v>70.170321861690041</v>
      </c>
      <c r="B171" s="11">
        <f ca="1">'FALL 5'!B171</f>
        <v>96.792694727048797</v>
      </c>
      <c r="C171" s="11">
        <f>'FALL 3'!C171</f>
        <v>98</v>
      </c>
      <c r="D171" s="11">
        <f ca="1">IF(C171=0,"",(B171*0.01*(B35)+K78))</f>
        <v>96.824767779778298</v>
      </c>
      <c r="E171" s="11"/>
      <c r="F171" s="11">
        <f ca="1">IF(D171="","",(D171*((D22-F36)/(99-0))+F36))</f>
        <v>48.912383889889149</v>
      </c>
      <c r="G171" s="11">
        <f t="shared" ca="1" si="30"/>
        <v>96.824767779778298</v>
      </c>
      <c r="H171" s="50">
        <f ca="1">IF(I176=C171,I171,"")</f>
        <v>48.9</v>
      </c>
      <c r="I171" s="11">
        <f t="shared" ca="1" si="31"/>
        <v>48.9</v>
      </c>
      <c r="J171" s="11"/>
      <c r="K171" s="11"/>
      <c r="L171" s="11">
        <f ca="1">IF(D171="","",(L170+2*L185))</f>
        <v>48.775000000000027</v>
      </c>
      <c r="M171" s="11">
        <f t="shared" ca="1" si="32"/>
        <v>48.9</v>
      </c>
      <c r="N171" s="11">
        <f t="shared" ca="1" si="33"/>
        <v>2391.21</v>
      </c>
      <c r="O171" s="11">
        <f ca="1">IF(D171="","",(L171*H39)+H38)</f>
        <v>96.550000000000054</v>
      </c>
      <c r="P171" s="11">
        <f t="shared" ca="1" si="34"/>
        <v>9321.9025000000111</v>
      </c>
      <c r="Q171" s="11">
        <f t="shared" ca="1" si="35"/>
        <v>4721.2950000000028</v>
      </c>
      <c r="R171" s="11">
        <f t="shared" ca="1" si="36"/>
        <v>49</v>
      </c>
      <c r="S171" s="11">
        <f t="shared" ca="1" si="37"/>
        <v>2401</v>
      </c>
      <c r="T171" s="11">
        <f t="shared" ca="1" si="39"/>
        <v>96.550000000000054</v>
      </c>
      <c r="U171" s="11">
        <f t="shared" ca="1" si="39"/>
        <v>9321.9025000000111</v>
      </c>
      <c r="V171" s="11">
        <f t="shared" ca="1" si="38"/>
        <v>4730.9500000000025</v>
      </c>
    </row>
    <row r="172" spans="1:41" x14ac:dyDescent="0.3">
      <c r="A172" s="11">
        <f ca="1">'FALL 5'!A172</f>
        <v>3.6181460197162254</v>
      </c>
      <c r="B172" s="11">
        <f ca="1">'FALL 5'!B172</f>
        <v>98.068589609092214</v>
      </c>
      <c r="C172" s="11">
        <f>'FALL 3'!C172</f>
        <v>99</v>
      </c>
      <c r="D172" s="11">
        <f ca="1">IF(C172=0,"",(B172*0.01*(B35)+K78))</f>
        <v>98.087903713001282</v>
      </c>
      <c r="E172" s="11"/>
      <c r="F172" s="11">
        <f ca="1">IF(D172="","",(D172*((D22-F36)/(99-0))+F36))</f>
        <v>49.543951856500641</v>
      </c>
      <c r="G172" s="11">
        <f t="shared" ca="1" si="30"/>
        <v>98.087903713001282</v>
      </c>
      <c r="H172" s="50" t="str">
        <f ca="1">IF(I176=C172,I172,"")</f>
        <v/>
      </c>
      <c r="I172" s="11">
        <f t="shared" ca="1" si="31"/>
        <v>49.5</v>
      </c>
      <c r="J172" s="11"/>
      <c r="K172" s="11"/>
      <c r="L172" s="11">
        <f ca="1">IF(D172="","",(L171+2*L185))</f>
        <v>49.265000000000029</v>
      </c>
      <c r="M172" s="11">
        <f t="shared" ca="1" si="32"/>
        <v>49.5</v>
      </c>
      <c r="N172" s="11">
        <f t="shared" ca="1" si="33"/>
        <v>2450.25</v>
      </c>
      <c r="O172" s="11">
        <f ca="1">IF(D172="","",(L172*H39)+H38)</f>
        <v>97.530000000000058</v>
      </c>
      <c r="P172" s="11">
        <f t="shared" ca="1" si="34"/>
        <v>9512.1009000000122</v>
      </c>
      <c r="Q172" s="11">
        <f t="shared" ca="1" si="35"/>
        <v>4827.7350000000033</v>
      </c>
      <c r="R172" s="11">
        <f t="shared" ca="1" si="36"/>
        <v>50</v>
      </c>
      <c r="S172" s="11">
        <f t="shared" ca="1" si="37"/>
        <v>2500</v>
      </c>
      <c r="T172" s="11">
        <f t="shared" ca="1" si="39"/>
        <v>97.530000000000058</v>
      </c>
      <c r="U172" s="11">
        <f t="shared" ca="1" si="39"/>
        <v>9512.1009000000122</v>
      </c>
      <c r="V172" s="11">
        <f t="shared" ca="1" si="38"/>
        <v>4876.5000000000027</v>
      </c>
    </row>
    <row r="173" spans="1:41" ht="15" thickBot="1" x14ac:dyDescent="0.35">
      <c r="A173" s="11">
        <f ca="1">'FALL 5'!A173</f>
        <v>61.705597331283826</v>
      </c>
      <c r="B173" s="11">
        <f ca="1">'FALL 5'!B173</f>
        <v>98.808316937464056</v>
      </c>
      <c r="C173" s="11">
        <f>'FALL 3'!C173</f>
        <v>100</v>
      </c>
      <c r="D173" s="11">
        <f ca="1">IF(C173=0,"",(B173*0.01*(B35)+K78))</f>
        <v>98.820233768089409</v>
      </c>
      <c r="E173" s="11"/>
      <c r="F173" s="11">
        <f ca="1">IF(D173="","",(D173*((D22-F36)/(99-0))+F36))</f>
        <v>49.910116884044704</v>
      </c>
      <c r="G173" s="11">
        <f t="shared" ca="1" si="30"/>
        <v>98.820233768089409</v>
      </c>
      <c r="H173" s="50" t="str">
        <f ca="1">IF(I176=C173,I173,"")</f>
        <v/>
      </c>
      <c r="I173" s="11">
        <f t="shared" ca="1" si="31"/>
        <v>49.9</v>
      </c>
      <c r="J173" s="11"/>
      <c r="K173" s="11"/>
      <c r="L173" s="11">
        <f ca="1">IF(D173="","",(L172+2*L185))</f>
        <v>49.755000000000031</v>
      </c>
      <c r="M173" s="11">
        <f t="shared" ca="1" si="32"/>
        <v>49.9</v>
      </c>
      <c r="N173" s="11">
        <f t="shared" ca="1" si="33"/>
        <v>2490.0099999999998</v>
      </c>
      <c r="O173" s="11">
        <f ca="1">IF(D173="","",(L173*H39)+H38)</f>
        <v>98.510000000000062</v>
      </c>
      <c r="P173" s="11">
        <f t="shared" ca="1" si="34"/>
        <v>9704.2201000000114</v>
      </c>
      <c r="Q173" s="11">
        <f ca="1">IF(M173="","",(M173*O173))</f>
        <v>4915.6490000000031</v>
      </c>
      <c r="R173" s="11">
        <f t="shared" ca="1" si="36"/>
        <v>50</v>
      </c>
      <c r="S173" s="11">
        <f t="shared" ca="1" si="37"/>
        <v>2500</v>
      </c>
      <c r="T173" s="11">
        <f t="shared" ca="1" si="39"/>
        <v>98.510000000000062</v>
      </c>
      <c r="U173" s="11">
        <f t="shared" ca="1" si="39"/>
        <v>9704.2201000000114</v>
      </c>
      <c r="V173" s="11">
        <f t="shared" ca="1" si="38"/>
        <v>4925.5000000000027</v>
      </c>
    </row>
    <row r="174" spans="1:41" x14ac:dyDescent="0.3">
      <c r="C174" s="45"/>
      <c r="D174" s="11"/>
      <c r="G174" s="11"/>
      <c r="H174" s="11"/>
      <c r="I174" s="11"/>
      <c r="J174" s="11"/>
      <c r="K174" s="11"/>
      <c r="L174" s="11"/>
      <c r="M174" s="11">
        <f t="shared" ref="M174:V174" ca="1" si="40">SUM(M74:M173)</f>
        <v>2367.1999999999994</v>
      </c>
      <c r="N174" s="11">
        <f t="shared" ca="1" si="40"/>
        <v>74572.36</v>
      </c>
      <c r="O174" s="11">
        <f t="shared" ca="1" si="40"/>
        <v>4999.9999999999973</v>
      </c>
      <c r="P174" s="11">
        <f t="shared" ca="1" si="40"/>
        <v>330025.3299999999</v>
      </c>
      <c r="Q174" s="11">
        <f t="shared" ca="1" si="40"/>
        <v>156727.78400000001</v>
      </c>
      <c r="R174" s="11">
        <f t="shared" ca="1" si="40"/>
        <v>2371</v>
      </c>
      <c r="S174" s="11">
        <f t="shared" ca="1" si="40"/>
        <v>74843</v>
      </c>
      <c r="T174" s="11">
        <f t="shared" ca="1" si="40"/>
        <v>4999.9999999999973</v>
      </c>
      <c r="U174" s="11">
        <f t="shared" ca="1" si="40"/>
        <v>330025.3299999999</v>
      </c>
      <c r="V174" s="11">
        <f t="shared" ca="1" si="40"/>
        <v>157000.78999999995</v>
      </c>
      <c r="AA174" s="7"/>
      <c r="AB174" s="7"/>
      <c r="AC174" s="7"/>
      <c r="AD174" s="7"/>
      <c r="AE174" s="7"/>
      <c r="AF174" s="7"/>
      <c r="AG174" s="7"/>
      <c r="AH174" s="7"/>
      <c r="AI174" s="7"/>
      <c r="AJ174" s="7"/>
      <c r="AK174" s="7"/>
      <c r="AL174" s="7"/>
      <c r="AM174" s="7"/>
      <c r="AN174" s="7"/>
      <c r="AO174" s="7"/>
    </row>
    <row r="175" spans="1:41" x14ac:dyDescent="0.3">
      <c r="A175" s="11"/>
      <c r="B175" s="11"/>
      <c r="C175" s="45"/>
      <c r="D175" s="11"/>
      <c r="E175" s="11"/>
      <c r="G175" s="11"/>
      <c r="H175" s="11"/>
      <c r="I175" s="11"/>
      <c r="J175" s="11"/>
      <c r="K175" s="13" t="s">
        <v>92</v>
      </c>
      <c r="L175" s="13">
        <f>'NUR MIT PASSWORT'!$J$24</f>
        <v>100</v>
      </c>
      <c r="M175" s="11">
        <f ca="1">(M174^2)</f>
        <v>5603635.8399999971</v>
      </c>
      <c r="N175" s="11"/>
      <c r="O175" s="11">
        <f ca="1">(O174^2)</f>
        <v>24999999.999999974</v>
      </c>
      <c r="P175" s="11"/>
      <c r="Q175" s="11"/>
      <c r="R175" s="11">
        <f ca="1">(R174^2)</f>
        <v>5621641</v>
      </c>
      <c r="S175" s="11"/>
      <c r="T175" s="11">
        <f ca="1">(T174^2)</f>
        <v>24999999.999999974</v>
      </c>
      <c r="U175" s="11"/>
      <c r="V175" s="11"/>
    </row>
    <row r="176" spans="1:41" x14ac:dyDescent="0.3">
      <c r="A176" s="11"/>
      <c r="B176" s="11"/>
      <c r="C176" s="46"/>
      <c r="D176" s="11"/>
      <c r="E176" s="11"/>
      <c r="F176" s="11"/>
      <c r="H176" s="50">
        <f ca="1">MAX(H74:H173)</f>
        <v>48.9</v>
      </c>
      <c r="I176" s="50">
        <f ca="1">ROUND(RAND()*(99-1)+1,0)</f>
        <v>98</v>
      </c>
    </row>
    <row r="177" spans="1:18" x14ac:dyDescent="0.3">
      <c r="A177" s="11"/>
      <c r="B177" s="11"/>
      <c r="C177" s="11"/>
      <c r="D177" s="11"/>
      <c r="E177" s="11"/>
      <c r="F177" s="11"/>
      <c r="L177" s="9" t="s">
        <v>91</v>
      </c>
      <c r="M177" s="9">
        <f ca="1">(L175*Q174-(M174*O174))</f>
        <v>3836778.4000000115</v>
      </c>
      <c r="Q177" s="9" t="s">
        <v>91</v>
      </c>
      <c r="R177" s="9">
        <f ca="1">(L175*V174-(R174*T174))</f>
        <v>3845079</v>
      </c>
    </row>
    <row r="178" spans="1:18" x14ac:dyDescent="0.3">
      <c r="A178" s="11"/>
      <c r="B178" s="11"/>
      <c r="C178" s="11"/>
      <c r="D178" s="11"/>
      <c r="E178" s="11"/>
      <c r="F178" s="11"/>
    </row>
    <row r="179" spans="1:18" x14ac:dyDescent="0.3">
      <c r="A179" s="11"/>
      <c r="B179" s="11"/>
      <c r="C179" s="11"/>
      <c r="D179" s="11"/>
      <c r="E179" s="11"/>
      <c r="F179" s="11"/>
      <c r="L179" s="9" t="s">
        <v>93</v>
      </c>
      <c r="M179" s="9">
        <f ca="1">(L175*N174-M175)</f>
        <v>1853600.1600000029</v>
      </c>
      <c r="Q179" s="9" t="s">
        <v>96</v>
      </c>
      <c r="R179" s="9">
        <f ca="1">(L175*S174-R175)</f>
        <v>1862659</v>
      </c>
    </row>
    <row r="180" spans="1:18" ht="21" x14ac:dyDescent="0.4">
      <c r="A180" s="48"/>
      <c r="B180" s="11"/>
      <c r="E180" s="11"/>
      <c r="F180" s="13"/>
    </row>
    <row r="181" spans="1:18" x14ac:dyDescent="0.3">
      <c r="A181" s="11"/>
      <c r="B181" s="11"/>
      <c r="D181" s="45"/>
      <c r="E181" s="11"/>
      <c r="F181" s="11"/>
      <c r="L181" s="9" t="s">
        <v>94</v>
      </c>
      <c r="M181" s="9">
        <f ca="1">(L175*P174-O175)</f>
        <v>8002533.0000000149</v>
      </c>
      <c r="Q181" s="9" t="s">
        <v>97</v>
      </c>
      <c r="R181" s="9">
        <f ca="1">(L175*U174-T175)</f>
        <v>8002533.0000000149</v>
      </c>
    </row>
    <row r="182" spans="1:18" x14ac:dyDescent="0.3">
      <c r="A182" s="11"/>
      <c r="B182" s="11"/>
      <c r="D182" s="45"/>
      <c r="E182" s="11"/>
      <c r="F182" s="11"/>
    </row>
    <row r="183" spans="1:18" x14ac:dyDescent="0.3">
      <c r="A183" s="11"/>
      <c r="B183" s="11"/>
      <c r="D183" s="45"/>
      <c r="E183" s="11"/>
      <c r="F183" s="11"/>
      <c r="L183" s="51" t="s">
        <v>95</v>
      </c>
      <c r="M183" s="51">
        <f ca="1">(M177)/((M179*M181)^0.5)</f>
        <v>0.99619635986906463</v>
      </c>
      <c r="Q183" s="51" t="s">
        <v>95</v>
      </c>
      <c r="R183" s="51">
        <f ca="1">(R177)/((R179*R181)^0.5)</f>
        <v>0.99592091441328545</v>
      </c>
    </row>
    <row r="184" spans="1:18" x14ac:dyDescent="0.3">
      <c r="A184" s="11"/>
      <c r="B184" s="11"/>
      <c r="C184" s="11"/>
      <c r="D184" s="11"/>
      <c r="E184" s="11"/>
      <c r="F184" s="11"/>
    </row>
    <row r="185" spans="1:18" x14ac:dyDescent="0.3">
      <c r="A185" s="11"/>
      <c r="B185" s="11"/>
      <c r="C185" s="11"/>
      <c r="D185" s="11"/>
      <c r="E185" s="11"/>
      <c r="F185" s="11"/>
      <c r="K185" s="51" t="s">
        <v>130</v>
      </c>
      <c r="L185" s="13">
        <f>(D23-B23)/(2*L175)</f>
        <v>0.245</v>
      </c>
    </row>
    <row r="186" spans="1:18" x14ac:dyDescent="0.3">
      <c r="A186" s="11"/>
      <c r="B186" s="11"/>
      <c r="C186" s="11"/>
      <c r="D186" s="11"/>
      <c r="E186" s="11"/>
      <c r="F186" s="11"/>
      <c r="L186" s="11"/>
    </row>
    <row r="187" spans="1:18" x14ac:dyDescent="0.3">
      <c r="A187" s="11"/>
      <c r="B187" s="11"/>
      <c r="C187" s="11"/>
      <c r="D187" s="11"/>
      <c r="E187" s="11"/>
      <c r="F187" s="11"/>
      <c r="L187" s="11"/>
    </row>
    <row r="188" spans="1:18" x14ac:dyDescent="0.3">
      <c r="A188" s="11"/>
      <c r="B188" s="11"/>
      <c r="C188" s="11"/>
      <c r="D188" s="11"/>
      <c r="E188" s="11"/>
      <c r="F188" s="11"/>
    </row>
    <row r="189" spans="1:18" x14ac:dyDescent="0.3">
      <c r="A189" s="11"/>
      <c r="B189" s="11"/>
      <c r="C189" s="11"/>
      <c r="D189" s="11"/>
      <c r="E189" s="11"/>
      <c r="F189" s="11"/>
    </row>
    <row r="190" spans="1:18" x14ac:dyDescent="0.3">
      <c r="A190" s="11"/>
      <c r="B190" s="11"/>
      <c r="C190" s="11"/>
      <c r="D190" s="11"/>
      <c r="E190" s="11"/>
      <c r="F190" s="11"/>
    </row>
    <row r="191" spans="1:18" x14ac:dyDescent="0.3">
      <c r="A191" s="11"/>
      <c r="B191" s="11"/>
      <c r="C191" s="11"/>
      <c r="D191" s="11"/>
      <c r="E191" s="11"/>
      <c r="F191" s="11"/>
    </row>
    <row r="192" spans="1:18" x14ac:dyDescent="0.3">
      <c r="A192" s="11"/>
      <c r="B192" s="11"/>
      <c r="C192" s="11"/>
      <c r="D192" s="11"/>
      <c r="E192" s="11"/>
      <c r="F192" s="11"/>
    </row>
    <row r="193" spans="1:6" x14ac:dyDescent="0.3">
      <c r="A193" s="11"/>
      <c r="B193" s="11"/>
      <c r="C193" s="11"/>
      <c r="D193" s="11"/>
      <c r="E193" s="11"/>
      <c r="F193" s="11"/>
    </row>
    <row r="194" spans="1:6" x14ac:dyDescent="0.3">
      <c r="A194" s="11"/>
      <c r="B194" s="11"/>
      <c r="C194" s="11"/>
      <c r="D194" s="11"/>
      <c r="E194" s="11"/>
      <c r="F194" s="11"/>
    </row>
    <row r="195" spans="1:6" x14ac:dyDescent="0.3">
      <c r="A195" s="11"/>
      <c r="B195" s="11"/>
      <c r="C195" s="11"/>
      <c r="D195" s="11"/>
      <c r="E195" s="11"/>
      <c r="F195" s="11"/>
    </row>
    <row r="196" spans="1:6" x14ac:dyDescent="0.3">
      <c r="A196" s="11"/>
      <c r="B196" s="11"/>
      <c r="C196" s="11"/>
      <c r="D196" s="11"/>
      <c r="E196" s="11"/>
      <c r="F196" s="11"/>
    </row>
    <row r="197" spans="1:6" x14ac:dyDescent="0.3">
      <c r="A197" s="11"/>
      <c r="B197" s="11"/>
      <c r="C197" s="11"/>
      <c r="D197" s="11"/>
      <c r="E197" s="11"/>
      <c r="F197" s="11"/>
    </row>
    <row r="198" spans="1:6" x14ac:dyDescent="0.3">
      <c r="A198" s="11"/>
      <c r="B198" s="11"/>
      <c r="C198" s="11"/>
      <c r="D198" s="11"/>
      <c r="E198" s="11"/>
      <c r="F198" s="11"/>
    </row>
    <row r="199" spans="1:6" x14ac:dyDescent="0.3">
      <c r="A199" s="11"/>
      <c r="B199" s="11"/>
      <c r="C199" s="11"/>
      <c r="D199" s="11"/>
      <c r="E199" s="11"/>
      <c r="F199" s="11"/>
    </row>
    <row r="200" spans="1:6" x14ac:dyDescent="0.3">
      <c r="A200" s="11"/>
      <c r="B200" s="11"/>
      <c r="C200" s="11"/>
      <c r="D200" s="11"/>
      <c r="E200" s="11"/>
      <c r="F200" s="11"/>
    </row>
    <row r="201" spans="1:6" x14ac:dyDescent="0.3">
      <c r="A201" s="11"/>
      <c r="B201" s="11"/>
      <c r="C201" s="11"/>
      <c r="D201" s="11"/>
      <c r="E201" s="11"/>
      <c r="F201" s="11"/>
    </row>
    <row r="202" spans="1:6" x14ac:dyDescent="0.3">
      <c r="A202" s="11"/>
      <c r="B202" s="11"/>
      <c r="C202" s="11"/>
      <c r="D202" s="11"/>
      <c r="E202" s="11"/>
      <c r="F202" s="11"/>
    </row>
    <row r="203" spans="1:6" x14ac:dyDescent="0.3">
      <c r="A203" s="11"/>
      <c r="B203" s="11"/>
      <c r="C203" s="11"/>
      <c r="D203" s="11"/>
      <c r="E203" s="11"/>
      <c r="F203" s="11"/>
    </row>
    <row r="204" spans="1:6" x14ac:dyDescent="0.3">
      <c r="A204" s="11"/>
      <c r="B204" s="11"/>
      <c r="C204" s="11"/>
      <c r="D204" s="11"/>
      <c r="E204" s="11"/>
      <c r="F204" s="11"/>
    </row>
    <row r="205" spans="1:6" x14ac:dyDescent="0.3">
      <c r="A205" s="11"/>
      <c r="B205" s="11"/>
      <c r="C205" s="11"/>
      <c r="D205" s="11"/>
      <c r="E205" s="11"/>
      <c r="F205" s="11"/>
    </row>
    <row r="206" spans="1:6" x14ac:dyDescent="0.3">
      <c r="A206" s="11"/>
      <c r="B206" s="11"/>
      <c r="C206" s="11"/>
      <c r="D206" s="11"/>
      <c r="E206" s="11"/>
      <c r="F206" s="11"/>
    </row>
    <row r="207" spans="1:6" x14ac:dyDescent="0.3">
      <c r="A207" s="11"/>
      <c r="B207" s="11"/>
      <c r="C207" s="11"/>
      <c r="D207" s="11"/>
      <c r="E207" s="11"/>
      <c r="F207" s="11"/>
    </row>
    <row r="208" spans="1:6" x14ac:dyDescent="0.3">
      <c r="A208" s="11"/>
      <c r="B208" s="11"/>
      <c r="C208" s="11"/>
      <c r="D208" s="11"/>
      <c r="E208" s="11"/>
      <c r="F208" s="11"/>
    </row>
    <row r="209" spans="1:6" x14ac:dyDescent="0.3">
      <c r="A209" s="11"/>
      <c r="B209" s="11"/>
      <c r="C209" s="11"/>
      <c r="D209" s="11"/>
      <c r="E209" s="11"/>
      <c r="F209" s="11"/>
    </row>
    <row r="210" spans="1:6" x14ac:dyDescent="0.3">
      <c r="A210" s="11"/>
      <c r="B210" s="11"/>
      <c r="C210" s="11"/>
      <c r="D210" s="11"/>
      <c r="E210" s="11"/>
      <c r="F210" s="11"/>
    </row>
    <row r="211" spans="1:6" x14ac:dyDescent="0.3">
      <c r="A211" s="11"/>
      <c r="B211" s="11"/>
      <c r="C211" s="11"/>
      <c r="D211" s="11"/>
      <c r="E211" s="11"/>
      <c r="F211" s="11"/>
    </row>
    <row r="212" spans="1:6" x14ac:dyDescent="0.3">
      <c r="A212" s="11"/>
      <c r="B212" s="11"/>
      <c r="C212" s="11"/>
      <c r="D212" s="11"/>
      <c r="E212" s="11"/>
      <c r="F212" s="11"/>
    </row>
    <row r="213" spans="1:6" x14ac:dyDescent="0.3">
      <c r="A213" s="11"/>
      <c r="B213" s="11"/>
      <c r="C213" s="11"/>
      <c r="D213" s="11"/>
      <c r="E213" s="11"/>
      <c r="F213" s="11"/>
    </row>
    <row r="214" spans="1:6" x14ac:dyDescent="0.3">
      <c r="A214" s="11"/>
      <c r="B214" s="11"/>
      <c r="C214" s="11"/>
      <c r="D214" s="11"/>
      <c r="E214" s="11"/>
      <c r="F214" s="11"/>
    </row>
    <row r="215" spans="1:6" x14ac:dyDescent="0.3">
      <c r="A215" s="11"/>
      <c r="B215" s="11"/>
      <c r="C215" s="11"/>
      <c r="D215" s="11"/>
      <c r="E215" s="11"/>
      <c r="F215" s="11"/>
    </row>
    <row r="216" spans="1:6" x14ac:dyDescent="0.3">
      <c r="A216" s="11"/>
      <c r="B216" s="11"/>
      <c r="C216" s="11"/>
      <c r="D216" s="11"/>
      <c r="E216" s="11"/>
      <c r="F216" s="11"/>
    </row>
    <row r="217" spans="1:6" x14ac:dyDescent="0.3">
      <c r="A217" s="11"/>
      <c r="B217" s="11"/>
      <c r="C217" s="11"/>
      <c r="D217" s="11"/>
      <c r="E217" s="11"/>
      <c r="F217" s="11"/>
    </row>
    <row r="218" spans="1:6" x14ac:dyDescent="0.3">
      <c r="A218" s="11"/>
      <c r="B218" s="11"/>
      <c r="C218" s="11"/>
      <c r="D218" s="11"/>
      <c r="E218" s="11"/>
      <c r="F218" s="11"/>
    </row>
    <row r="219" spans="1:6" x14ac:dyDescent="0.3">
      <c r="A219" s="11"/>
      <c r="B219" s="11"/>
      <c r="C219" s="11"/>
      <c r="D219" s="11"/>
      <c r="E219" s="11"/>
      <c r="F219" s="11"/>
    </row>
    <row r="220" spans="1:6" x14ac:dyDescent="0.3">
      <c r="A220" s="11"/>
      <c r="B220" s="11"/>
      <c r="C220" s="11"/>
      <c r="D220" s="11"/>
      <c r="E220" s="11"/>
      <c r="F220" s="11"/>
    </row>
    <row r="221" spans="1:6" x14ac:dyDescent="0.3">
      <c r="A221" s="11"/>
      <c r="B221" s="11"/>
      <c r="C221" s="11"/>
      <c r="D221" s="11"/>
      <c r="E221" s="11"/>
      <c r="F221" s="11"/>
    </row>
    <row r="222" spans="1:6" x14ac:dyDescent="0.3">
      <c r="A222" s="11"/>
      <c r="B222" s="11"/>
      <c r="C222" s="11"/>
      <c r="D222" s="11"/>
      <c r="E222" s="11"/>
      <c r="F222" s="11"/>
    </row>
    <row r="223" spans="1:6" x14ac:dyDescent="0.3">
      <c r="A223" s="11"/>
      <c r="B223" s="11"/>
      <c r="C223" s="11"/>
      <c r="D223" s="11"/>
      <c r="E223" s="11"/>
      <c r="F223" s="11"/>
    </row>
    <row r="224" spans="1:6" x14ac:dyDescent="0.3">
      <c r="A224" s="11"/>
      <c r="B224" s="11"/>
      <c r="C224" s="11"/>
      <c r="D224" s="11"/>
      <c r="E224" s="11"/>
      <c r="F224" s="11"/>
    </row>
    <row r="225" spans="1:6" x14ac:dyDescent="0.3">
      <c r="A225" s="11"/>
      <c r="B225" s="11"/>
      <c r="C225" s="11"/>
      <c r="D225" s="11"/>
      <c r="E225" s="11"/>
      <c r="F225" s="11"/>
    </row>
    <row r="226" spans="1:6" x14ac:dyDescent="0.3">
      <c r="A226" s="11"/>
      <c r="B226" s="11"/>
      <c r="C226" s="11"/>
      <c r="D226" s="11"/>
      <c r="E226" s="11"/>
      <c r="F226" s="11"/>
    </row>
    <row r="227" spans="1:6" x14ac:dyDescent="0.3">
      <c r="A227" s="11"/>
      <c r="B227" s="11"/>
      <c r="C227" s="11"/>
      <c r="D227" s="11"/>
      <c r="E227" s="11"/>
      <c r="F227" s="11"/>
    </row>
    <row r="228" spans="1:6" x14ac:dyDescent="0.3">
      <c r="A228" s="11"/>
      <c r="B228" s="11"/>
      <c r="C228" s="11"/>
      <c r="D228" s="11"/>
      <c r="E228" s="11"/>
      <c r="F228" s="11"/>
    </row>
    <row r="229" spans="1:6" x14ac:dyDescent="0.3">
      <c r="A229" s="11"/>
      <c r="B229" s="11"/>
      <c r="C229" s="11"/>
      <c r="D229" s="11"/>
      <c r="E229" s="11"/>
      <c r="F229" s="11"/>
    </row>
    <row r="230" spans="1:6" x14ac:dyDescent="0.3">
      <c r="A230" s="11"/>
      <c r="B230" s="11"/>
      <c r="C230" s="11"/>
      <c r="D230" s="11"/>
      <c r="E230" s="11"/>
      <c r="F230" s="11"/>
    </row>
    <row r="231" spans="1:6" x14ac:dyDescent="0.3">
      <c r="A231" s="11"/>
      <c r="B231" s="11"/>
      <c r="C231" s="11"/>
      <c r="D231" s="11"/>
      <c r="E231" s="11"/>
      <c r="F231" s="11"/>
    </row>
    <row r="232" spans="1:6" x14ac:dyDescent="0.3">
      <c r="A232" s="11"/>
      <c r="B232" s="11"/>
      <c r="C232" s="11"/>
      <c r="D232" s="11"/>
      <c r="E232" s="11"/>
      <c r="F232" s="11"/>
    </row>
    <row r="233" spans="1:6" x14ac:dyDescent="0.3">
      <c r="A233" s="11"/>
      <c r="B233" s="11"/>
      <c r="C233" s="11"/>
      <c r="D233" s="11"/>
      <c r="E233" s="11"/>
      <c r="F233" s="11"/>
    </row>
    <row r="234" spans="1:6" x14ac:dyDescent="0.3">
      <c r="A234" s="11"/>
      <c r="B234" s="11"/>
      <c r="C234" s="11"/>
      <c r="D234" s="11"/>
      <c r="E234" s="11"/>
      <c r="F234" s="11"/>
    </row>
    <row r="235" spans="1:6" x14ac:dyDescent="0.3">
      <c r="A235" s="11"/>
      <c r="B235" s="11"/>
      <c r="C235" s="11"/>
      <c r="D235" s="11"/>
      <c r="E235" s="11"/>
      <c r="F235" s="11"/>
    </row>
    <row r="236" spans="1:6" x14ac:dyDescent="0.3">
      <c r="A236" s="11"/>
      <c r="B236" s="11"/>
      <c r="C236" s="11"/>
      <c r="D236" s="11"/>
      <c r="E236" s="11"/>
      <c r="F236" s="11"/>
    </row>
    <row r="237" spans="1:6" x14ac:dyDescent="0.3">
      <c r="A237" s="11"/>
      <c r="B237" s="11"/>
      <c r="C237" s="11"/>
      <c r="D237" s="11"/>
      <c r="E237" s="11"/>
      <c r="F237" s="11"/>
    </row>
    <row r="238" spans="1:6" x14ac:dyDescent="0.3">
      <c r="A238" s="11"/>
      <c r="B238" s="11"/>
      <c r="C238" s="11"/>
      <c r="D238" s="11"/>
      <c r="E238" s="11"/>
      <c r="F238" s="11"/>
    </row>
    <row r="239" spans="1:6" x14ac:dyDescent="0.3">
      <c r="A239" s="11"/>
      <c r="B239" s="11"/>
      <c r="C239" s="11"/>
      <c r="D239" s="11"/>
      <c r="E239" s="11"/>
      <c r="F239" s="11"/>
    </row>
    <row r="240" spans="1:6" x14ac:dyDescent="0.3">
      <c r="A240" s="11"/>
      <c r="B240" s="11"/>
      <c r="C240" s="11"/>
      <c r="D240" s="11"/>
      <c r="E240" s="11"/>
      <c r="F240" s="11"/>
    </row>
    <row r="260" spans="1:1" ht="21" x14ac:dyDescent="0.4">
      <c r="A260" s="48"/>
    </row>
    <row r="340" spans="1:1" ht="21" x14ac:dyDescent="0.4">
      <c r="A340" s="48"/>
    </row>
    <row r="420" spans="1:1" ht="21" x14ac:dyDescent="0.4">
      <c r="A420" s="48"/>
    </row>
    <row r="500" spans="1:1" ht="21" x14ac:dyDescent="0.4">
      <c r="A500" s="48"/>
    </row>
    <row r="580" spans="1:1" ht="21" x14ac:dyDescent="0.4">
      <c r="A580" s="48"/>
    </row>
    <row r="660" spans="1:1" ht="21" x14ac:dyDescent="0.4">
      <c r="A660" s="48"/>
    </row>
    <row r="740" spans="1:1" ht="21" x14ac:dyDescent="0.4">
      <c r="A740" s="48"/>
    </row>
  </sheetData>
  <mergeCells count="14">
    <mergeCell ref="E72:H72"/>
    <mergeCell ref="I72:J72"/>
    <mergeCell ref="M72:Q72"/>
    <mergeCell ref="R72:V72"/>
    <mergeCell ref="A1:D1"/>
    <mergeCell ref="A2:D2"/>
    <mergeCell ref="A39:D39"/>
    <mergeCell ref="J3:N3"/>
    <mergeCell ref="E4:G4"/>
    <mergeCell ref="E5:F5"/>
    <mergeCell ref="G5:H5"/>
    <mergeCell ref="I5:J5"/>
    <mergeCell ref="K5:L5"/>
    <mergeCell ref="M5:N5"/>
  </mergeCells>
  <dataValidations count="5">
    <dataValidation type="decimal" allowBlank="1" showInputMessage="1" showErrorMessage="1" sqref="B25" xr:uid="{E653D0C6-06C0-4169-B72F-A98000076354}">
      <formula1>(B23)</formula1>
      <formula2>(D23)</formula2>
    </dataValidation>
    <dataValidation type="decimal" allowBlank="1" showInputMessage="1" showErrorMessage="1" sqref="B26" xr:uid="{DB9CA962-1F61-4336-A06D-F9C04F279FBF}">
      <formula1>1</formula1>
      <formula2>99</formula2>
    </dataValidation>
    <dataValidation type="decimal" allowBlank="1" showInputMessage="1" showErrorMessage="1" sqref="D37" xr:uid="{7724DA2E-5D71-4D77-9531-CB09AA9C5B7A}">
      <formula1>IF(#REF!=0,(MIN(A4:A34)),-10^9)</formula1>
      <formula2>IF(#REF!=0,(MAX(A4:A34)),10^9)</formula2>
    </dataValidation>
    <dataValidation type="decimal" allowBlank="1" showInputMessage="1" showErrorMessage="1" sqref="D40" xr:uid="{A00AA734-8C10-42FD-85EA-7362115363FE}">
      <formula1>IF(#REF!=0,(MIN(B4:B34)),10^-9)</formula1>
      <formula2>IF(#REF!=0,(MAX(B4:B34)),#REF!)</formula2>
    </dataValidation>
    <dataValidation type="whole" operator="equal" allowBlank="1" showInputMessage="1" showErrorMessage="1" sqref="P3:T22" xr:uid="{41270350-0BCC-458A-B88F-FA97A000CF77}">
      <formula1>100000</formula1>
    </dataValidation>
  </dataValidations>
  <pageMargins left="0.7" right="0.7" top="0.78740157499999996" bottom="0.78740157499999996" header="0.3" footer="0.3"/>
  <pageSetup paperSize="9" scale="95" orientation="landscape" horizontalDpi="4294967293" verticalDpi="4294967293" r:id="rId1"/>
  <ignoredErrors>
    <ignoredError sqref="R1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19C76-3EAF-4231-AEF0-DC9B03912FC7}">
  <dimension ref="A1:R47"/>
  <sheetViews>
    <sheetView tabSelected="1" workbookViewId="0">
      <selection activeCell="S22" sqref="S22"/>
    </sheetView>
  </sheetViews>
  <sheetFormatPr baseColWidth="10" defaultRowHeight="14.4" x14ac:dyDescent="0.3"/>
  <cols>
    <col min="5" max="5" width="38.6640625" customWidth="1"/>
    <col min="6" max="6" width="20.6640625" customWidth="1"/>
    <col min="7" max="7" width="19" customWidth="1"/>
  </cols>
  <sheetData>
    <row r="1" spans="1:18" x14ac:dyDescent="0.3">
      <c r="A1" s="97"/>
      <c r="B1" s="97"/>
      <c r="C1" s="97"/>
      <c r="D1" s="97"/>
      <c r="E1" s="97"/>
      <c r="F1" s="97"/>
      <c r="G1" s="97"/>
      <c r="H1" s="97"/>
      <c r="I1" s="97"/>
      <c r="J1" s="97"/>
      <c r="K1" s="97"/>
      <c r="L1" s="97"/>
      <c r="M1" s="97"/>
      <c r="N1" s="97"/>
      <c r="O1" s="97"/>
      <c r="P1" s="97"/>
      <c r="Q1" s="97"/>
      <c r="R1" s="97"/>
    </row>
    <row r="2" spans="1:18" x14ac:dyDescent="0.3">
      <c r="A2" s="97"/>
      <c r="B2" s="97"/>
      <c r="C2" s="97"/>
      <c r="D2" s="97"/>
      <c r="E2" s="97"/>
      <c r="F2" s="97"/>
      <c r="G2" s="97"/>
      <c r="H2" s="97"/>
      <c r="I2" s="97"/>
      <c r="J2" s="97"/>
      <c r="K2" s="97"/>
      <c r="L2" s="97"/>
      <c r="M2" s="97"/>
      <c r="N2" s="97"/>
      <c r="O2" s="97"/>
      <c r="P2" s="97"/>
      <c r="Q2" s="97"/>
      <c r="R2" s="97"/>
    </row>
    <row r="3" spans="1:18" x14ac:dyDescent="0.3">
      <c r="A3" s="97"/>
      <c r="B3" s="97"/>
      <c r="C3" s="97"/>
      <c r="D3" s="97"/>
      <c r="E3" s="97"/>
      <c r="F3" s="97"/>
      <c r="G3" s="97"/>
      <c r="H3" s="97"/>
      <c r="I3" s="97"/>
      <c r="J3" s="97"/>
      <c r="K3" s="97"/>
      <c r="L3" s="97"/>
      <c r="M3" s="97"/>
      <c r="N3" s="97"/>
      <c r="O3" s="97"/>
      <c r="P3" s="97"/>
      <c r="Q3" s="97"/>
      <c r="R3" s="97"/>
    </row>
    <row r="4" spans="1:18" x14ac:dyDescent="0.3">
      <c r="A4" s="97"/>
      <c r="B4" s="97"/>
      <c r="C4" s="97"/>
      <c r="D4" s="97"/>
      <c r="E4" s="97"/>
      <c r="F4" s="97"/>
      <c r="G4" s="97"/>
      <c r="H4" s="97"/>
      <c r="I4" s="97"/>
      <c r="J4" s="97"/>
      <c r="K4" s="97"/>
      <c r="L4" s="97"/>
      <c r="M4" s="97"/>
      <c r="N4" s="97"/>
      <c r="O4" s="97"/>
      <c r="P4" s="97"/>
      <c r="Q4" s="97"/>
      <c r="R4" s="97"/>
    </row>
    <row r="5" spans="1:18" x14ac:dyDescent="0.3">
      <c r="A5" s="97"/>
      <c r="B5" s="97"/>
      <c r="C5" s="97"/>
      <c r="D5" s="97"/>
      <c r="E5" s="97"/>
      <c r="F5" s="97"/>
      <c r="G5" s="97"/>
      <c r="H5" s="97"/>
      <c r="I5" s="97"/>
      <c r="J5" s="97"/>
      <c r="K5" s="97"/>
      <c r="L5" s="97"/>
      <c r="M5" s="97"/>
      <c r="N5" s="97"/>
      <c r="O5" s="97"/>
      <c r="P5" s="97"/>
      <c r="Q5" s="97"/>
      <c r="R5" s="97"/>
    </row>
    <row r="6" spans="1:18" x14ac:dyDescent="0.3">
      <c r="A6" s="97"/>
      <c r="B6" s="97"/>
      <c r="C6" s="97"/>
      <c r="D6" s="97"/>
      <c r="E6" s="97"/>
      <c r="F6" s="97"/>
      <c r="G6" s="97"/>
      <c r="H6" s="97"/>
      <c r="I6" s="97"/>
      <c r="J6" s="97"/>
      <c r="K6" s="97"/>
      <c r="L6" s="97"/>
      <c r="M6" s="97"/>
      <c r="N6" s="97"/>
      <c r="O6" s="97"/>
      <c r="P6" s="97"/>
      <c r="Q6" s="97"/>
      <c r="R6" s="97"/>
    </row>
    <row r="7" spans="1:18" x14ac:dyDescent="0.3">
      <c r="A7" s="97"/>
      <c r="B7" s="97"/>
      <c r="C7" s="97"/>
      <c r="D7" s="97"/>
      <c r="E7" s="97"/>
      <c r="F7" s="97"/>
      <c r="G7" s="97"/>
      <c r="H7" s="97"/>
      <c r="I7" s="97"/>
      <c r="J7" s="97"/>
      <c r="K7" s="97"/>
      <c r="L7" s="97"/>
      <c r="M7" s="97"/>
      <c r="N7" s="97"/>
      <c r="O7" s="97"/>
      <c r="P7" s="97"/>
      <c r="Q7" s="97"/>
      <c r="R7" s="97"/>
    </row>
    <row r="8" spans="1:18" x14ac:dyDescent="0.3">
      <c r="A8" s="97"/>
      <c r="B8" s="97"/>
      <c r="C8" s="97"/>
      <c r="D8" s="97"/>
      <c r="E8" s="97"/>
      <c r="F8" s="97"/>
      <c r="G8" s="97"/>
      <c r="H8" s="97"/>
      <c r="I8" s="97"/>
      <c r="J8" s="97"/>
      <c r="K8" s="97"/>
      <c r="L8" s="97"/>
      <c r="M8" s="97"/>
      <c r="N8" s="97"/>
      <c r="O8" s="97"/>
      <c r="P8" s="97"/>
      <c r="Q8" s="97"/>
      <c r="R8" s="97"/>
    </row>
    <row r="9" spans="1:18" x14ac:dyDescent="0.3">
      <c r="A9" s="97"/>
      <c r="B9" s="97"/>
      <c r="C9" s="97"/>
      <c r="D9" s="97"/>
      <c r="E9" s="97"/>
      <c r="F9" s="97"/>
      <c r="G9" s="97"/>
      <c r="H9" s="97"/>
      <c r="I9" s="97"/>
      <c r="J9" s="97"/>
      <c r="K9" s="97"/>
      <c r="L9" s="97"/>
      <c r="M9" s="97"/>
      <c r="N9" s="97"/>
      <c r="O9" s="97"/>
      <c r="P9" s="97"/>
      <c r="Q9" s="97"/>
      <c r="R9" s="97"/>
    </row>
    <row r="10" spans="1:18" x14ac:dyDescent="0.3">
      <c r="A10" s="97"/>
      <c r="B10" s="97"/>
      <c r="C10" s="97"/>
      <c r="D10" s="97"/>
      <c r="E10" s="97"/>
      <c r="F10" s="97"/>
      <c r="G10" s="97"/>
      <c r="H10" s="97"/>
      <c r="I10" s="97"/>
      <c r="J10" s="97"/>
      <c r="K10" s="97"/>
      <c r="L10" s="97"/>
      <c r="M10" s="97"/>
      <c r="N10" s="97"/>
      <c r="O10" s="97"/>
      <c r="P10" s="97"/>
      <c r="Q10" s="97"/>
      <c r="R10" s="97"/>
    </row>
    <row r="11" spans="1:18" x14ac:dyDescent="0.3">
      <c r="A11" s="97"/>
      <c r="B11" s="97"/>
      <c r="C11" s="97"/>
      <c r="D11" s="97"/>
      <c r="E11" s="97"/>
      <c r="F11" s="97"/>
      <c r="G11" s="97"/>
      <c r="H11" s="97"/>
      <c r="I11" s="97"/>
      <c r="J11" s="97"/>
      <c r="K11" s="97"/>
      <c r="L11" s="97"/>
      <c r="M11" s="97"/>
      <c r="N11" s="97"/>
      <c r="O11" s="97"/>
      <c r="P11" s="97"/>
      <c r="Q11" s="97"/>
      <c r="R11" s="97"/>
    </row>
    <row r="12" spans="1:18" x14ac:dyDescent="0.3">
      <c r="A12" s="97"/>
      <c r="B12" s="97"/>
      <c r="C12" s="97"/>
      <c r="D12" s="97"/>
      <c r="E12" s="97"/>
      <c r="F12" s="97"/>
      <c r="G12" s="97"/>
      <c r="H12" s="97"/>
      <c r="I12" s="97"/>
      <c r="J12" s="97"/>
      <c r="K12" s="97"/>
      <c r="L12" s="97"/>
      <c r="M12" s="97"/>
      <c r="N12" s="97"/>
      <c r="O12" s="97"/>
      <c r="P12" s="97"/>
      <c r="Q12" s="97"/>
      <c r="R12" s="97"/>
    </row>
    <row r="13" spans="1:18" x14ac:dyDescent="0.3">
      <c r="A13" s="97"/>
      <c r="B13" s="97"/>
      <c r="C13" s="97"/>
      <c r="D13" s="97"/>
      <c r="E13" s="97"/>
      <c r="F13" s="97"/>
      <c r="G13" s="97"/>
      <c r="H13" s="97"/>
      <c r="I13" s="97"/>
      <c r="J13" s="97"/>
      <c r="K13" s="97"/>
      <c r="L13" s="97"/>
      <c r="M13" s="97"/>
      <c r="N13" s="97"/>
      <c r="O13" s="97"/>
      <c r="P13" s="97"/>
      <c r="Q13" s="97"/>
      <c r="R13" s="97"/>
    </row>
    <row r="14" spans="1:18" x14ac:dyDescent="0.3">
      <c r="A14" s="97"/>
      <c r="B14" s="97"/>
      <c r="C14" s="97"/>
      <c r="D14" s="97"/>
      <c r="E14" s="97"/>
      <c r="F14" s="97"/>
      <c r="G14" s="97"/>
      <c r="H14" s="97"/>
      <c r="I14" s="97"/>
      <c r="J14" s="97"/>
      <c r="K14" s="97"/>
      <c r="L14" s="97"/>
      <c r="M14" s="97"/>
      <c r="N14" s="97"/>
      <c r="O14" s="97"/>
      <c r="P14" s="97"/>
      <c r="Q14" s="97"/>
      <c r="R14" s="97"/>
    </row>
    <row r="15" spans="1:18" x14ac:dyDescent="0.3">
      <c r="A15" s="97"/>
      <c r="B15" s="97"/>
      <c r="C15" s="97"/>
      <c r="D15" s="97"/>
      <c r="E15" s="97"/>
      <c r="F15" s="97"/>
      <c r="G15" s="97"/>
      <c r="H15" s="97"/>
      <c r="I15" s="97"/>
      <c r="J15" s="97"/>
      <c r="K15" s="97"/>
      <c r="L15" s="97"/>
      <c r="M15" s="97"/>
      <c r="N15" s="97"/>
      <c r="O15" s="97"/>
      <c r="P15" s="97"/>
      <c r="Q15" s="97"/>
      <c r="R15" s="97"/>
    </row>
    <row r="16" spans="1:18" x14ac:dyDescent="0.3">
      <c r="A16" s="97"/>
      <c r="B16" s="97"/>
      <c r="C16" s="97"/>
      <c r="D16" s="97"/>
      <c r="E16" s="97"/>
      <c r="F16" s="97"/>
      <c r="G16" s="97"/>
      <c r="H16" s="97"/>
      <c r="I16" s="97"/>
      <c r="J16" s="97"/>
      <c r="K16" s="97"/>
      <c r="L16" s="97"/>
      <c r="M16" s="97"/>
      <c r="N16" s="97"/>
      <c r="O16" s="97"/>
      <c r="P16" s="97"/>
      <c r="Q16" s="97"/>
      <c r="R16" s="97"/>
    </row>
    <row r="17" spans="1:18" x14ac:dyDescent="0.3">
      <c r="A17" s="97"/>
      <c r="B17" s="97"/>
      <c r="C17" s="97"/>
      <c r="D17" s="97"/>
      <c r="E17" s="97"/>
      <c r="F17" s="97"/>
      <c r="G17" s="97"/>
      <c r="H17" s="97"/>
      <c r="I17" s="97"/>
      <c r="J17" s="97"/>
      <c r="K17" s="97"/>
      <c r="L17" s="97"/>
      <c r="M17" s="97"/>
      <c r="N17" s="97"/>
      <c r="O17" s="97"/>
      <c r="P17" s="97"/>
      <c r="Q17" s="97"/>
      <c r="R17" s="97"/>
    </row>
    <row r="18" spans="1:18" x14ac:dyDescent="0.3">
      <c r="A18" s="97"/>
      <c r="B18" s="97"/>
      <c r="C18" s="97"/>
      <c r="D18" s="97"/>
      <c r="E18" s="97"/>
      <c r="F18" s="97"/>
      <c r="G18" s="97"/>
      <c r="H18" s="97"/>
      <c r="I18" s="97"/>
      <c r="J18" s="97"/>
      <c r="K18" s="97"/>
      <c r="L18" s="97"/>
      <c r="M18" s="97"/>
      <c r="N18" s="97"/>
      <c r="O18" s="97"/>
      <c r="P18" s="97"/>
      <c r="Q18" s="97"/>
      <c r="R18" s="97"/>
    </row>
    <row r="19" spans="1:18" x14ac:dyDescent="0.3">
      <c r="A19" s="97"/>
      <c r="B19" s="97"/>
      <c r="C19" s="97"/>
      <c r="D19" s="97"/>
      <c r="E19" s="97"/>
      <c r="F19" s="97"/>
      <c r="G19" s="97"/>
      <c r="H19" s="97"/>
      <c r="I19" s="97"/>
      <c r="J19" s="97"/>
      <c r="K19" s="97"/>
      <c r="L19" s="97"/>
      <c r="M19" s="97"/>
      <c r="N19" s="97"/>
      <c r="O19" s="97"/>
      <c r="P19" s="97"/>
      <c r="Q19" s="97"/>
      <c r="R19" s="97"/>
    </row>
    <row r="20" spans="1:18" x14ac:dyDescent="0.3">
      <c r="A20" s="97"/>
      <c r="B20" s="97"/>
      <c r="C20" s="97"/>
      <c r="D20" s="97"/>
      <c r="E20" s="97"/>
      <c r="F20" s="97"/>
      <c r="G20" s="97"/>
      <c r="H20" s="97"/>
      <c r="I20" s="97"/>
      <c r="J20" s="97"/>
      <c r="K20" s="97"/>
      <c r="L20" s="97"/>
      <c r="M20" s="97"/>
      <c r="N20" s="97"/>
      <c r="O20" s="97"/>
      <c r="P20" s="97"/>
      <c r="Q20" s="97"/>
      <c r="R20" s="97"/>
    </row>
    <row r="21" spans="1:18" x14ac:dyDescent="0.3">
      <c r="A21" s="97"/>
      <c r="B21" s="97"/>
      <c r="C21" s="97"/>
      <c r="D21" s="97"/>
      <c r="E21" s="97"/>
      <c r="F21" s="97"/>
      <c r="G21" s="97"/>
      <c r="H21" s="97"/>
      <c r="I21" s="97"/>
      <c r="J21" s="97"/>
      <c r="K21" s="97"/>
      <c r="L21" s="97"/>
      <c r="M21" s="97"/>
      <c r="N21" s="97"/>
      <c r="O21" s="97"/>
      <c r="P21" s="97"/>
      <c r="Q21" s="97"/>
      <c r="R21" s="97"/>
    </row>
    <row r="22" spans="1:18" x14ac:dyDescent="0.3">
      <c r="A22" s="97"/>
      <c r="B22" s="97"/>
      <c r="C22" s="97"/>
      <c r="D22" s="97"/>
      <c r="E22" s="97"/>
      <c r="F22" s="97"/>
      <c r="G22" s="97"/>
      <c r="H22" s="97"/>
      <c r="I22" s="97"/>
      <c r="J22" s="97"/>
      <c r="K22" s="97"/>
      <c r="L22" s="97"/>
      <c r="M22" s="97"/>
      <c r="N22" s="97"/>
      <c r="O22" s="97"/>
      <c r="P22" s="97"/>
      <c r="Q22" s="97"/>
      <c r="R22" s="97"/>
    </row>
    <row r="23" spans="1:18" x14ac:dyDescent="0.3">
      <c r="A23" s="97"/>
      <c r="B23" s="97"/>
      <c r="C23" s="97"/>
      <c r="D23" s="97"/>
      <c r="E23" s="97"/>
      <c r="F23" s="97"/>
      <c r="G23" s="97"/>
      <c r="H23" s="97"/>
      <c r="I23" s="97"/>
      <c r="J23" s="97"/>
      <c r="K23" s="97"/>
      <c r="L23" s="97"/>
      <c r="M23" s="97"/>
      <c r="N23" s="97"/>
      <c r="O23" s="97"/>
      <c r="P23" s="97"/>
      <c r="Q23" s="97"/>
      <c r="R23" s="97"/>
    </row>
    <row r="24" spans="1:18" x14ac:dyDescent="0.3">
      <c r="A24" s="97"/>
      <c r="B24" s="97"/>
      <c r="C24" s="97"/>
      <c r="D24" s="97"/>
      <c r="E24" s="97"/>
      <c r="F24" s="97"/>
      <c r="G24" s="97"/>
      <c r="H24" s="97"/>
      <c r="I24" s="97"/>
      <c r="J24" s="97"/>
      <c r="K24" s="97"/>
      <c r="L24" s="97"/>
      <c r="M24" s="97"/>
      <c r="N24" s="97"/>
      <c r="O24" s="97"/>
      <c r="P24" s="97"/>
      <c r="Q24" s="97"/>
      <c r="R24" s="97"/>
    </row>
    <row r="25" spans="1:18" x14ac:dyDescent="0.3">
      <c r="A25" s="97"/>
      <c r="B25" s="97"/>
      <c r="C25" s="97"/>
      <c r="D25" s="97"/>
      <c r="E25" s="97"/>
      <c r="F25" s="97"/>
      <c r="G25" s="97"/>
      <c r="H25" s="97"/>
      <c r="I25" s="97"/>
      <c r="J25" s="97"/>
      <c r="K25" s="97"/>
      <c r="L25" s="97"/>
      <c r="M25" s="97"/>
      <c r="N25" s="97"/>
      <c r="O25" s="97"/>
      <c r="P25" s="97"/>
      <c r="Q25" s="97"/>
      <c r="R25" s="97"/>
    </row>
    <row r="26" spans="1:18" x14ac:dyDescent="0.3">
      <c r="A26" s="97"/>
      <c r="B26" s="97"/>
      <c r="C26" s="97"/>
      <c r="D26" s="97"/>
      <c r="E26" s="97"/>
      <c r="F26" s="97"/>
      <c r="G26" s="97"/>
      <c r="H26" s="97"/>
      <c r="I26" s="97"/>
      <c r="J26" s="97"/>
      <c r="K26" s="97"/>
      <c r="L26" s="97"/>
      <c r="M26" s="97"/>
      <c r="N26" s="97"/>
      <c r="O26" s="97"/>
      <c r="P26" s="97"/>
      <c r="Q26" s="97"/>
      <c r="R26" s="97"/>
    </row>
    <row r="27" spans="1:18" x14ac:dyDescent="0.3">
      <c r="A27" s="97"/>
      <c r="B27" s="97"/>
      <c r="C27" s="97"/>
      <c r="D27" s="97"/>
      <c r="E27" s="97"/>
      <c r="F27" s="97"/>
      <c r="G27" s="97"/>
      <c r="H27" s="97"/>
      <c r="I27" s="97"/>
      <c r="J27" s="97"/>
      <c r="K27" s="97"/>
      <c r="L27" s="97"/>
      <c r="M27" s="97"/>
      <c r="N27" s="97"/>
      <c r="O27" s="97"/>
      <c r="P27" s="97"/>
      <c r="Q27" s="97"/>
      <c r="R27" s="97"/>
    </row>
    <row r="28" spans="1:18" x14ac:dyDescent="0.3">
      <c r="A28" s="97"/>
      <c r="B28" s="97"/>
      <c r="C28" s="97"/>
      <c r="D28" s="97"/>
      <c r="E28" s="97"/>
      <c r="F28" s="97"/>
      <c r="G28" s="97"/>
      <c r="H28" s="97"/>
      <c r="I28" s="97"/>
      <c r="J28" s="97"/>
      <c r="K28" s="97"/>
      <c r="L28" s="97"/>
      <c r="M28" s="97"/>
      <c r="N28" s="97"/>
      <c r="O28" s="97"/>
      <c r="P28" s="97"/>
      <c r="Q28" s="97"/>
      <c r="R28" s="97"/>
    </row>
    <row r="29" spans="1:18" x14ac:dyDescent="0.3">
      <c r="A29" s="97"/>
      <c r="B29" s="97"/>
      <c r="C29" s="97"/>
      <c r="D29" s="97"/>
      <c r="E29" s="97"/>
      <c r="F29" s="97"/>
      <c r="G29" s="97"/>
      <c r="H29" s="97"/>
      <c r="I29" s="97"/>
      <c r="J29" s="97"/>
      <c r="K29" s="97"/>
      <c r="L29" s="97"/>
      <c r="M29" s="97"/>
      <c r="N29" s="97"/>
      <c r="O29" s="97"/>
      <c r="P29" s="97"/>
      <c r="Q29" s="97"/>
      <c r="R29" s="97"/>
    </row>
    <row r="30" spans="1:18" x14ac:dyDescent="0.3">
      <c r="A30" s="97"/>
      <c r="B30" s="97"/>
      <c r="C30" s="97"/>
      <c r="D30" s="97"/>
      <c r="E30" s="97"/>
      <c r="F30" s="97"/>
      <c r="G30" s="97"/>
      <c r="H30" s="97"/>
      <c r="I30" s="97"/>
      <c r="J30" s="97"/>
      <c r="K30" s="97"/>
      <c r="L30" s="97"/>
      <c r="M30" s="97"/>
      <c r="N30" s="97"/>
      <c r="O30" s="97"/>
      <c r="P30" s="97"/>
      <c r="Q30" s="97"/>
      <c r="R30" s="97"/>
    </row>
    <row r="31" spans="1:18" x14ac:dyDescent="0.3">
      <c r="A31" s="97"/>
      <c r="B31" s="97"/>
      <c r="C31" s="97"/>
      <c r="D31" s="97"/>
      <c r="E31" s="97"/>
      <c r="F31" s="97"/>
      <c r="G31" s="97"/>
      <c r="H31" s="97"/>
      <c r="I31" s="97"/>
      <c r="J31" s="97"/>
      <c r="K31" s="97"/>
      <c r="L31" s="97"/>
      <c r="M31" s="97"/>
      <c r="N31" s="97"/>
      <c r="O31" s="97"/>
      <c r="P31" s="97"/>
      <c r="Q31" s="97"/>
      <c r="R31" s="97"/>
    </row>
    <row r="32" spans="1:18" x14ac:dyDescent="0.3">
      <c r="A32" s="97"/>
      <c r="B32" s="97"/>
      <c r="C32" s="97"/>
      <c r="D32" s="97"/>
      <c r="E32" s="97"/>
      <c r="F32" s="97"/>
      <c r="G32" s="97"/>
      <c r="H32" s="97"/>
      <c r="I32" s="97"/>
      <c r="J32" s="97"/>
      <c r="K32" s="97"/>
      <c r="L32" s="97"/>
      <c r="M32" s="97"/>
      <c r="N32" s="97"/>
      <c r="O32" s="97"/>
      <c r="P32" s="97"/>
      <c r="Q32" s="97"/>
      <c r="R32" s="97"/>
    </row>
    <row r="33" spans="1:18" x14ac:dyDescent="0.3">
      <c r="A33" s="97"/>
      <c r="B33" s="97"/>
      <c r="C33" s="97"/>
      <c r="D33" s="97"/>
      <c r="E33" s="97"/>
      <c r="F33" s="97"/>
      <c r="G33" s="97"/>
      <c r="H33" s="97"/>
      <c r="I33" s="97"/>
      <c r="J33" s="97"/>
      <c r="K33" s="97"/>
      <c r="L33" s="97"/>
      <c r="M33" s="97"/>
      <c r="N33" s="97"/>
      <c r="O33" s="97"/>
      <c r="P33" s="97"/>
      <c r="Q33" s="97"/>
      <c r="R33" s="97"/>
    </row>
    <row r="34" spans="1:18" x14ac:dyDescent="0.3">
      <c r="A34" s="97"/>
      <c r="B34" s="97"/>
      <c r="C34" s="97"/>
      <c r="D34" s="97"/>
      <c r="E34" s="97"/>
      <c r="F34" s="97"/>
      <c r="G34" s="97"/>
      <c r="H34" s="97"/>
      <c r="I34" s="97"/>
      <c r="J34" s="97"/>
      <c r="K34" s="97"/>
      <c r="L34" s="97"/>
      <c r="M34" s="97"/>
      <c r="N34" s="97"/>
      <c r="O34" s="97"/>
      <c r="P34" s="97"/>
      <c r="Q34" s="97"/>
      <c r="R34" s="97"/>
    </row>
    <row r="35" spans="1:18" x14ac:dyDescent="0.3">
      <c r="A35" s="97"/>
      <c r="B35" s="97"/>
      <c r="C35" s="97"/>
      <c r="D35" s="97"/>
      <c r="E35" s="97"/>
      <c r="F35" s="97"/>
      <c r="G35" s="97"/>
      <c r="H35" s="97"/>
      <c r="I35" s="97"/>
      <c r="J35" s="97"/>
      <c r="K35" s="97"/>
      <c r="L35" s="97"/>
      <c r="M35" s="97"/>
      <c r="N35" s="97"/>
      <c r="O35" s="97"/>
      <c r="P35" s="97"/>
      <c r="Q35" s="97"/>
      <c r="R35" s="97"/>
    </row>
    <row r="36" spans="1:18" x14ac:dyDescent="0.3">
      <c r="A36" s="97"/>
      <c r="B36" s="97"/>
      <c r="C36" s="97"/>
      <c r="D36" s="97"/>
      <c r="E36" s="97"/>
      <c r="F36" s="97"/>
      <c r="G36" s="97"/>
      <c r="H36" s="97"/>
      <c r="I36" s="97"/>
      <c r="J36" s="97"/>
      <c r="K36" s="97"/>
      <c r="L36" s="97"/>
      <c r="M36" s="97"/>
      <c r="N36" s="97"/>
      <c r="O36" s="97"/>
      <c r="P36" s="97"/>
      <c r="Q36" s="97"/>
      <c r="R36" s="97"/>
    </row>
    <row r="37" spans="1:18" x14ac:dyDescent="0.3">
      <c r="A37" s="97"/>
      <c r="B37" s="97"/>
      <c r="C37" s="97"/>
      <c r="D37" s="97"/>
      <c r="E37" s="97"/>
      <c r="F37" s="97"/>
      <c r="G37" s="97"/>
      <c r="H37" s="97"/>
      <c r="I37" s="97"/>
      <c r="J37" s="97"/>
      <c r="K37" s="97"/>
      <c r="L37" s="97"/>
      <c r="M37" s="97"/>
      <c r="N37" s="97"/>
      <c r="O37" s="97"/>
      <c r="P37" s="97"/>
      <c r="Q37" s="97"/>
      <c r="R37" s="97"/>
    </row>
    <row r="38" spans="1:18" x14ac:dyDescent="0.3">
      <c r="A38" s="97"/>
      <c r="B38" s="97"/>
      <c r="C38" s="97"/>
      <c r="D38" s="97"/>
      <c r="E38" s="97"/>
      <c r="F38" s="97"/>
      <c r="G38" s="97"/>
      <c r="H38" s="97"/>
      <c r="I38" s="97"/>
      <c r="J38" s="97"/>
      <c r="K38" s="97"/>
      <c r="L38" s="97"/>
      <c r="M38" s="97"/>
      <c r="N38" s="97"/>
      <c r="O38" s="97"/>
      <c r="P38" s="97"/>
      <c r="Q38" s="97"/>
      <c r="R38" s="97"/>
    </row>
    <row r="39" spans="1:18" x14ac:dyDescent="0.3">
      <c r="A39" s="97"/>
      <c r="B39" s="97"/>
      <c r="C39" s="97"/>
      <c r="D39" s="97"/>
      <c r="E39" s="97"/>
      <c r="F39" s="97"/>
      <c r="G39" s="97"/>
      <c r="H39" s="97"/>
      <c r="I39" s="97"/>
      <c r="J39" s="97"/>
      <c r="K39" s="97"/>
      <c r="L39" s="97"/>
      <c r="M39" s="97"/>
      <c r="N39" s="97"/>
      <c r="O39" s="97"/>
      <c r="P39" s="97"/>
      <c r="Q39" s="97"/>
      <c r="R39" s="97"/>
    </row>
    <row r="40" spans="1:18" x14ac:dyDescent="0.3">
      <c r="A40" s="97"/>
      <c r="B40" s="97"/>
      <c r="C40" s="97"/>
      <c r="D40" s="97"/>
      <c r="E40" s="97"/>
      <c r="F40" s="97"/>
      <c r="G40" s="97"/>
      <c r="H40" s="97"/>
      <c r="I40" s="97"/>
      <c r="J40" s="97"/>
      <c r="K40" s="97"/>
      <c r="L40" s="97"/>
      <c r="M40" s="97"/>
      <c r="N40" s="97"/>
      <c r="O40" s="97"/>
      <c r="P40" s="97"/>
      <c r="Q40" s="97"/>
      <c r="R40" s="97"/>
    </row>
    <row r="41" spans="1:18" x14ac:dyDescent="0.3">
      <c r="A41" s="97"/>
      <c r="B41" s="97"/>
      <c r="C41" s="97"/>
      <c r="D41" s="97"/>
      <c r="E41" s="97"/>
      <c r="F41" s="97"/>
      <c r="G41" s="97"/>
      <c r="H41" s="97"/>
      <c r="I41" s="97"/>
      <c r="J41" s="97"/>
      <c r="K41" s="97"/>
      <c r="L41" s="97"/>
      <c r="M41" s="97"/>
      <c r="N41" s="97"/>
      <c r="O41" s="97"/>
      <c r="P41" s="97"/>
      <c r="Q41" s="97"/>
      <c r="R41" s="97"/>
    </row>
    <row r="42" spans="1:18" x14ac:dyDescent="0.3">
      <c r="A42" s="97"/>
      <c r="B42" s="97"/>
      <c r="C42" s="97"/>
      <c r="D42" s="97"/>
      <c r="E42" s="97"/>
      <c r="F42" s="97"/>
      <c r="G42" s="97"/>
      <c r="H42" s="97"/>
      <c r="I42" s="97"/>
      <c r="J42" s="97"/>
      <c r="K42" s="97"/>
      <c r="L42" s="97"/>
      <c r="M42" s="97"/>
      <c r="N42" s="97"/>
      <c r="O42" s="97"/>
      <c r="P42" s="97"/>
      <c r="Q42" s="97"/>
      <c r="R42" s="97"/>
    </row>
    <row r="43" spans="1:18" x14ac:dyDescent="0.3">
      <c r="A43" s="97"/>
      <c r="B43" s="97"/>
      <c r="C43" s="97"/>
      <c r="D43" s="97"/>
      <c r="E43" s="97"/>
      <c r="F43" s="97"/>
      <c r="G43" s="97"/>
      <c r="H43" s="97"/>
      <c r="I43" s="97"/>
      <c r="J43" s="97"/>
      <c r="K43" s="97"/>
      <c r="L43" s="97"/>
      <c r="M43" s="97"/>
      <c r="N43" s="97"/>
      <c r="O43" s="97"/>
      <c r="P43" s="97"/>
      <c r="Q43" s="97"/>
      <c r="R43" s="97"/>
    </row>
    <row r="44" spans="1:18" x14ac:dyDescent="0.3">
      <c r="A44" s="97"/>
      <c r="B44" s="97"/>
      <c r="C44" s="97"/>
      <c r="D44" s="97"/>
      <c r="E44" s="97"/>
      <c r="F44" s="97"/>
      <c r="G44" s="97"/>
      <c r="H44" s="97"/>
      <c r="I44" s="97"/>
      <c r="J44" s="97"/>
      <c r="K44" s="97"/>
      <c r="L44" s="97"/>
      <c r="M44" s="97"/>
      <c r="N44" s="97"/>
      <c r="O44" s="97"/>
      <c r="P44" s="97"/>
      <c r="Q44" s="97"/>
      <c r="R44" s="97"/>
    </row>
    <row r="45" spans="1:18" x14ac:dyDescent="0.3">
      <c r="A45" s="97"/>
      <c r="B45" s="97"/>
      <c r="C45" s="97"/>
      <c r="D45" s="97"/>
      <c r="E45" s="97"/>
      <c r="F45" s="97"/>
      <c r="G45" s="97"/>
      <c r="H45" s="97"/>
      <c r="I45" s="97"/>
      <c r="J45" s="97"/>
      <c r="K45" s="97"/>
      <c r="L45" s="97"/>
      <c r="M45" s="97"/>
      <c r="N45" s="97"/>
      <c r="O45" s="97"/>
      <c r="P45" s="97"/>
      <c r="Q45" s="97"/>
      <c r="R45" s="97"/>
    </row>
    <row r="46" spans="1:18" x14ac:dyDescent="0.3">
      <c r="A46" s="97"/>
      <c r="B46" s="97"/>
      <c r="C46" s="97"/>
      <c r="D46" s="97"/>
      <c r="E46" s="97"/>
      <c r="F46" s="97"/>
      <c r="G46" s="97"/>
      <c r="H46" s="97"/>
      <c r="I46" s="97"/>
      <c r="J46" s="97"/>
      <c r="K46" s="97"/>
      <c r="L46" s="97"/>
      <c r="M46" s="97"/>
      <c r="N46" s="97"/>
      <c r="O46" s="97"/>
      <c r="P46" s="97"/>
      <c r="Q46" s="97"/>
      <c r="R46" s="97"/>
    </row>
    <row r="47" spans="1:18" x14ac:dyDescent="0.3">
      <c r="A47" s="98" t="s">
        <v>152</v>
      </c>
      <c r="B47" s="99"/>
      <c r="C47" s="97"/>
      <c r="D47" s="97"/>
      <c r="E47" s="97"/>
      <c r="F47" s="97"/>
      <c r="G47" s="97"/>
      <c r="H47" s="97"/>
      <c r="I47" s="97"/>
      <c r="J47" s="97"/>
      <c r="K47" s="97"/>
      <c r="L47" s="97"/>
      <c r="M47" s="97"/>
      <c r="N47" s="97"/>
      <c r="O47" s="97"/>
      <c r="P47" s="97"/>
      <c r="Q47" s="97"/>
      <c r="R47" s="97"/>
    </row>
  </sheetData>
  <sheetProtection algorithmName="SHA-512" hashValue="Y4eGpjxslwu5Rg5TsCXMNg/YB+4t+DntUx9uXMVb52yz9moqBaordvYhJehPK7LZ2NB5fEuLTSALr8vgSRPV8Q==" saltValue="CVuKzx3n7BQYyrrHOIG5oA==" spinCount="100000" sheet="1" objects="1" scenarios="1"/>
  <hyperlinks>
    <hyperlink ref="A47" r:id="rId1" display="https://www.augenwissen.de/untersuchungen/gesichtsfelduntersuchungen/" xr:uid="{B1678E4C-CE0C-457F-A75C-2032130B8B1E}"/>
  </hyperlinks>
  <pageMargins left="0.7" right="0.7" top="0.78740157499999996" bottom="0.78740157499999996" header="0.3" footer="0.3"/>
  <pageSetup paperSize="9"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558"/>
  <sheetViews>
    <sheetView topLeftCell="O1" zoomScale="127" zoomScaleNormal="42" workbookViewId="0">
      <selection activeCell="R18" sqref="R18"/>
    </sheetView>
  </sheetViews>
  <sheetFormatPr baseColWidth="10" defaultRowHeight="14.4" x14ac:dyDescent="0.3"/>
  <cols>
    <col min="1" max="1" width="37.88671875" style="9" customWidth="1"/>
    <col min="2" max="3" width="28.21875" style="9" customWidth="1"/>
    <col min="4" max="4" width="38.44140625" style="9" customWidth="1"/>
    <col min="5" max="5" width="12.77734375" style="9" customWidth="1"/>
    <col min="6" max="6" width="11.88671875" style="9" customWidth="1"/>
    <col min="7" max="7" width="12.77734375" style="9" customWidth="1"/>
    <col min="8" max="8" width="10.77734375" style="9" customWidth="1"/>
    <col min="9" max="9" width="13.44140625" style="9" customWidth="1"/>
    <col min="10" max="10" width="11.33203125" style="9" customWidth="1"/>
    <col min="11" max="11" width="12.88671875" style="9" customWidth="1"/>
    <col min="12" max="12" width="21.21875" style="9" customWidth="1"/>
    <col min="13" max="13" width="15.21875" style="9" customWidth="1"/>
    <col min="14" max="14" width="13.33203125" style="9" customWidth="1"/>
    <col min="15" max="15" width="12.77734375" style="9" bestFit="1" customWidth="1"/>
    <col min="16" max="16" width="24.44140625" style="9" customWidth="1"/>
    <col min="17" max="17" width="24.33203125" style="9" customWidth="1"/>
    <col min="18" max="18" width="25.109375" style="9" customWidth="1"/>
    <col min="19" max="19" width="16.6640625" style="9" customWidth="1"/>
    <col min="20" max="20" width="17" style="9" customWidth="1"/>
    <col min="21" max="21" width="15.88671875" style="9" customWidth="1"/>
    <col min="22" max="22" width="15.109375" style="9" customWidth="1"/>
    <col min="23" max="25" width="11.5546875" style="9" customWidth="1"/>
    <col min="26" max="16384" width="11.5546875" style="9"/>
  </cols>
  <sheetData>
    <row r="1" spans="1:23" ht="18" customHeight="1" x14ac:dyDescent="0.35">
      <c r="A1" s="150" t="s">
        <v>57</v>
      </c>
      <c r="B1" s="147"/>
      <c r="C1" s="147"/>
      <c r="D1" s="147"/>
      <c r="E1" s="100"/>
      <c r="F1" s="100"/>
      <c r="G1" s="100"/>
      <c r="H1" s="100"/>
      <c r="I1" s="100"/>
      <c r="J1" s="100"/>
      <c r="K1" s="100"/>
      <c r="L1" s="100"/>
      <c r="M1" s="100"/>
      <c r="N1" s="100"/>
      <c r="O1" s="101"/>
      <c r="P1" s="101"/>
      <c r="Q1" s="101"/>
      <c r="R1" s="65"/>
      <c r="S1" s="65"/>
      <c r="T1" s="65"/>
      <c r="U1" s="65"/>
      <c r="V1" s="65"/>
      <c r="W1" s="65"/>
    </row>
    <row r="2" spans="1:23" ht="18" customHeight="1" x14ac:dyDescent="0.35">
      <c r="A2" s="150" t="s">
        <v>58</v>
      </c>
      <c r="B2" s="147"/>
      <c r="C2" s="147"/>
      <c r="D2" s="147"/>
      <c r="E2" s="102" t="s">
        <v>60</v>
      </c>
      <c r="F2" s="102"/>
      <c r="G2" s="103">
        <f>'NUR MIT PASSWORT'!$J$20</f>
        <v>1</v>
      </c>
      <c r="H2" s="103" t="s">
        <v>33</v>
      </c>
      <c r="I2" s="103">
        <f>'NUR MIT PASSWORT'!$J$21</f>
        <v>50</v>
      </c>
      <c r="J2" s="100"/>
      <c r="K2" s="100"/>
      <c r="L2" s="100"/>
      <c r="M2" s="100"/>
      <c r="N2" s="100"/>
      <c r="O2" s="17" t="s">
        <v>144</v>
      </c>
      <c r="P2" s="66"/>
      <c r="Q2" s="66" t="s">
        <v>145</v>
      </c>
      <c r="R2" s="66" t="s">
        <v>146</v>
      </c>
      <c r="S2" s="67"/>
      <c r="T2" s="66"/>
      <c r="U2" s="66"/>
      <c r="V2" s="65"/>
      <c r="W2" s="65"/>
    </row>
    <row r="3" spans="1:23" ht="18" customHeight="1" x14ac:dyDescent="0.45">
      <c r="A3" s="104"/>
      <c r="B3" s="100"/>
      <c r="C3" s="100"/>
      <c r="D3" s="100"/>
      <c r="E3" s="102" t="s">
        <v>59</v>
      </c>
      <c r="F3" s="102"/>
      <c r="G3" s="103">
        <f>'NUR MIT PASSWORT'!$J$22</f>
        <v>1</v>
      </c>
      <c r="H3" s="103" t="s">
        <v>33</v>
      </c>
      <c r="I3" s="103">
        <f>'NUR MIT PASSWORT'!$J$23</f>
        <v>50</v>
      </c>
      <c r="J3" s="151" t="s">
        <v>62</v>
      </c>
      <c r="K3" s="151"/>
      <c r="L3" s="151"/>
      <c r="M3" s="151"/>
      <c r="N3" s="151"/>
      <c r="O3" s="113"/>
      <c r="P3" s="22" t="str">
        <f ca="1">IF($H$176=I74,I74,"")</f>
        <v/>
      </c>
      <c r="Q3" s="22" t="str">
        <f ca="1">IF($H$176=I94,I94,"")</f>
        <v/>
      </c>
      <c r="R3" s="105" t="str">
        <f ca="1">IF($H$176=I114,I114,"")</f>
        <v/>
      </c>
      <c r="S3" s="24" t="str">
        <f ca="1">IF($H$176=I134,I134,"")</f>
        <v/>
      </c>
      <c r="T3" s="24" t="str">
        <f ca="1">IF($H$176=I154,I154,"")</f>
        <v/>
      </c>
      <c r="U3" s="21"/>
    </row>
    <row r="4" spans="1:23" ht="18" customHeight="1" x14ac:dyDescent="0.3">
      <c r="A4" s="100"/>
      <c r="B4" s="100"/>
      <c r="C4" s="100"/>
      <c r="D4" s="100"/>
      <c r="E4" s="102" t="s">
        <v>34</v>
      </c>
      <c r="F4" s="102"/>
      <c r="G4" s="103"/>
      <c r="H4" s="106" t="s">
        <v>61</v>
      </c>
      <c r="I4" s="103">
        <f>'NUR MIT PASSWORT'!$J$24</f>
        <v>100</v>
      </c>
      <c r="J4" s="102"/>
      <c r="K4" s="103" t="s">
        <v>98</v>
      </c>
      <c r="L4" s="103">
        <f ca="1">'FALL 6'!$M$183</f>
        <v>0.99619635986906463</v>
      </c>
      <c r="M4" s="103" t="s">
        <v>98</v>
      </c>
      <c r="N4" s="103">
        <f ca="1">'FALL 6'!$R$183</f>
        <v>0.99592091441328545</v>
      </c>
      <c r="O4" s="113"/>
      <c r="P4" s="22" t="str">
        <f t="shared" ref="P4:P22" ca="1" si="0">IF($H$176=I75,I75,"")</f>
        <v/>
      </c>
      <c r="Q4" s="22" t="str">
        <f t="shared" ref="Q4:Q22" ca="1" si="1">IF($H$176=I95,I95,"")</f>
        <v/>
      </c>
      <c r="R4" s="105" t="str">
        <f t="shared" ref="R4" ca="1" si="2">IF($H$176=I115,I115,"")</f>
        <v/>
      </c>
      <c r="S4" s="24" t="str">
        <f t="shared" ref="S4:S22" ca="1" si="3">IF($H$176=I135,I135,"")</f>
        <v/>
      </c>
      <c r="T4" s="24" t="str">
        <f t="shared" ref="T4:T22" ca="1" si="4">IF($H$176=I155,I155,"")</f>
        <v/>
      </c>
      <c r="U4" s="21"/>
    </row>
    <row r="5" spans="1:23" ht="18" customHeight="1" x14ac:dyDescent="0.3">
      <c r="A5" s="104"/>
      <c r="B5" s="104"/>
      <c r="C5" s="104"/>
      <c r="D5" s="107"/>
      <c r="E5" s="146" t="s">
        <v>63</v>
      </c>
      <c r="F5" s="146"/>
      <c r="G5" s="146" t="s">
        <v>64</v>
      </c>
      <c r="H5" s="146"/>
      <c r="I5" s="146" t="s">
        <v>65</v>
      </c>
      <c r="J5" s="146"/>
      <c r="K5" s="146" t="s">
        <v>66</v>
      </c>
      <c r="L5" s="146"/>
      <c r="M5" s="146" t="s">
        <v>67</v>
      </c>
      <c r="N5" s="146"/>
      <c r="O5" s="113"/>
      <c r="P5" s="22" t="str">
        <f t="shared" ca="1" si="0"/>
        <v/>
      </c>
      <c r="Q5" s="22" t="str">
        <f t="shared" ca="1" si="1"/>
        <v/>
      </c>
      <c r="R5" s="105" t="str">
        <f t="shared" ref="R5" ca="1" si="5">IF($H$176=I116,I116,"")</f>
        <v/>
      </c>
      <c r="S5" s="24" t="str">
        <f t="shared" ca="1" si="3"/>
        <v/>
      </c>
      <c r="T5" s="24" t="str">
        <f t="shared" ca="1" si="4"/>
        <v/>
      </c>
      <c r="U5" s="21"/>
    </row>
    <row r="6" spans="1:23" ht="18" customHeight="1" x14ac:dyDescent="0.3">
      <c r="A6" s="104"/>
      <c r="B6" s="104"/>
      <c r="C6" s="104"/>
      <c r="D6" s="104"/>
      <c r="E6" s="103" t="s">
        <v>72</v>
      </c>
      <c r="F6" s="103" t="s">
        <v>68</v>
      </c>
      <c r="G6" s="103" t="s">
        <v>72</v>
      </c>
      <c r="H6" s="103" t="s">
        <v>68</v>
      </c>
      <c r="I6" s="103" t="s">
        <v>72</v>
      </c>
      <c r="J6" s="103" t="s">
        <v>68</v>
      </c>
      <c r="K6" s="103" t="s">
        <v>72</v>
      </c>
      <c r="L6" s="103" t="s">
        <v>68</v>
      </c>
      <c r="M6" s="103" t="s">
        <v>72</v>
      </c>
      <c r="N6" s="103" t="s">
        <v>68</v>
      </c>
      <c r="O6" s="113"/>
      <c r="P6" s="22" t="str">
        <f t="shared" ca="1" si="0"/>
        <v/>
      </c>
      <c r="Q6" s="22" t="str">
        <f t="shared" ca="1" si="1"/>
        <v/>
      </c>
      <c r="R6" s="105" t="str">
        <f t="shared" ref="R6" ca="1" si="6">IF($H$176=I117,I117,"")</f>
        <v/>
      </c>
      <c r="S6" s="24" t="str">
        <f t="shared" ca="1" si="3"/>
        <v/>
      </c>
      <c r="T6" s="24" t="str">
        <f t="shared" ca="1" si="4"/>
        <v/>
      </c>
      <c r="U6" s="21"/>
    </row>
    <row r="7" spans="1:23" ht="18" customHeight="1" x14ac:dyDescent="0.3">
      <c r="A7" s="104"/>
      <c r="B7" s="104"/>
      <c r="C7" s="104"/>
      <c r="D7" s="104"/>
      <c r="E7" s="103">
        <f t="shared" ref="E7:E26" ca="1" si="7">I74</f>
        <v>9.6999999999999993</v>
      </c>
      <c r="F7" s="103">
        <f ca="1">IF(E7="","",ROUND($E$7,0))</f>
        <v>10</v>
      </c>
      <c r="G7" s="103">
        <f t="shared" ref="G7:G26" ca="1" si="8">I94</f>
        <v>17.899999999999999</v>
      </c>
      <c r="H7" s="103">
        <f ca="1">IF(G7="","",ROUND($G$7,0))</f>
        <v>18</v>
      </c>
      <c r="I7" s="103">
        <f t="shared" ref="I7:I26" ca="1" si="9">I114</f>
        <v>22.8</v>
      </c>
      <c r="J7" s="103">
        <f ca="1">IF(I7="","",ROUND($I$7,0))</f>
        <v>23</v>
      </c>
      <c r="K7" s="103">
        <f t="shared" ref="K7:K26" ca="1" si="10">I134</f>
        <v>27.2</v>
      </c>
      <c r="L7" s="103">
        <f ca="1">IF(K7="","",ROUND($K$7,0))</f>
        <v>27</v>
      </c>
      <c r="M7" s="103">
        <f t="shared" ref="M7:M26" ca="1" si="11">I154</f>
        <v>31.5</v>
      </c>
      <c r="N7" s="103">
        <f ca="1">IF(M7="","",ROUND($M$7,0))</f>
        <v>32</v>
      </c>
      <c r="O7" s="113"/>
      <c r="P7" s="22" t="str">
        <f t="shared" ca="1" si="0"/>
        <v/>
      </c>
      <c r="Q7" s="22" t="str">
        <f t="shared" ca="1" si="1"/>
        <v/>
      </c>
      <c r="R7" s="105" t="str">
        <f t="shared" ref="R7" ca="1" si="12">IF($H$176=I118,I118,"")</f>
        <v/>
      </c>
      <c r="S7" s="24" t="str">
        <f t="shared" ca="1" si="3"/>
        <v/>
      </c>
      <c r="T7" s="24" t="str">
        <f t="shared" ca="1" si="4"/>
        <v/>
      </c>
      <c r="U7" s="21"/>
    </row>
    <row r="8" spans="1:23" ht="18" customHeight="1" x14ac:dyDescent="0.3">
      <c r="A8" s="104"/>
      <c r="B8" s="104"/>
      <c r="C8" s="104"/>
      <c r="D8" s="104"/>
      <c r="E8" s="103">
        <f t="shared" ca="1" si="7"/>
        <v>9.8000000000000007</v>
      </c>
      <c r="F8" s="103">
        <f ca="1">IF(E8="","",ROUND($E$8,0))</f>
        <v>10</v>
      </c>
      <c r="G8" s="103">
        <f t="shared" ca="1" si="8"/>
        <v>18</v>
      </c>
      <c r="H8" s="103">
        <f ca="1">IF(G8="","",ROUND($G$8,0))</f>
        <v>18</v>
      </c>
      <c r="I8" s="103">
        <f t="shared" ca="1" si="9"/>
        <v>22.8</v>
      </c>
      <c r="J8" s="103">
        <f ca="1">IF(I8="","",ROUND($I$8,0))</f>
        <v>23</v>
      </c>
      <c r="K8" s="103">
        <f t="shared" ca="1" si="10"/>
        <v>27.2</v>
      </c>
      <c r="L8" s="103">
        <f ca="1">IF(K8="","",ROUND($K$8,0))</f>
        <v>27</v>
      </c>
      <c r="M8" s="103">
        <f t="shared" ca="1" si="11"/>
        <v>32.4</v>
      </c>
      <c r="N8" s="103">
        <f ca="1">IF(M8="","",ROUND($M$8,0))</f>
        <v>32</v>
      </c>
      <c r="O8" s="113"/>
      <c r="P8" s="22" t="str">
        <f t="shared" ca="1" si="0"/>
        <v/>
      </c>
      <c r="Q8" s="22" t="str">
        <f t="shared" ca="1" si="1"/>
        <v/>
      </c>
      <c r="R8" s="105" t="str">
        <f t="shared" ref="R8" ca="1" si="13">IF($H$176=I119,I119,"")</f>
        <v/>
      </c>
      <c r="S8" s="24" t="str">
        <f t="shared" ca="1" si="3"/>
        <v/>
      </c>
      <c r="T8" s="24" t="str">
        <f t="shared" ca="1" si="4"/>
        <v/>
      </c>
      <c r="U8" s="21"/>
    </row>
    <row r="9" spans="1:23" ht="18" customHeight="1" x14ac:dyDescent="0.3">
      <c r="A9" s="104"/>
      <c r="B9" s="104"/>
      <c r="C9" s="104"/>
      <c r="D9" s="104"/>
      <c r="E9" s="103">
        <f t="shared" ca="1" si="7"/>
        <v>9.8000000000000007</v>
      </c>
      <c r="F9" s="103">
        <f ca="1">IF(E9="","",ROUND($E$9,0))</f>
        <v>10</v>
      </c>
      <c r="G9" s="103">
        <f t="shared" ca="1" si="8"/>
        <v>18.2</v>
      </c>
      <c r="H9" s="103">
        <f ca="1">IF(G9="","",ROUND($G$9,0))</f>
        <v>18</v>
      </c>
      <c r="I9" s="103">
        <f t="shared" ca="1" si="9"/>
        <v>23.2</v>
      </c>
      <c r="J9" s="103">
        <f ca="1">IF(I9="","",ROUND($I$9,0))</f>
        <v>23</v>
      </c>
      <c r="K9" s="103">
        <f t="shared" ca="1" si="10"/>
        <v>27.2</v>
      </c>
      <c r="L9" s="103">
        <f ca="1">IF(K9="","",ROUND($K$9,0))</f>
        <v>27</v>
      </c>
      <c r="M9" s="103">
        <f t="shared" ca="1" si="11"/>
        <v>33.1</v>
      </c>
      <c r="N9" s="103">
        <f ca="1">IF(M9="","",ROUND($M$9,0))</f>
        <v>33</v>
      </c>
      <c r="O9" s="113"/>
      <c r="P9" s="22" t="str">
        <f t="shared" ca="1" si="0"/>
        <v/>
      </c>
      <c r="Q9" s="22" t="str">
        <f t="shared" ca="1" si="1"/>
        <v/>
      </c>
      <c r="R9" s="105" t="str">
        <f t="shared" ref="R9" ca="1" si="14">IF($H$176=I120,I120,"")</f>
        <v/>
      </c>
      <c r="S9" s="24" t="str">
        <f t="shared" ca="1" si="3"/>
        <v/>
      </c>
      <c r="T9" s="24" t="str">
        <f t="shared" ca="1" si="4"/>
        <v/>
      </c>
      <c r="U9" s="21"/>
    </row>
    <row r="10" spans="1:23" ht="18" customHeight="1" x14ac:dyDescent="0.3">
      <c r="A10" s="104"/>
      <c r="B10" s="104"/>
      <c r="C10" s="104"/>
      <c r="D10" s="104"/>
      <c r="E10" s="103">
        <f t="shared" ca="1" si="7"/>
        <v>11.8</v>
      </c>
      <c r="F10" s="103">
        <f ca="1">IF(E10="","",ROUND($E$10,0))</f>
        <v>12</v>
      </c>
      <c r="G10" s="103">
        <f t="shared" ca="1" si="8"/>
        <v>18.5</v>
      </c>
      <c r="H10" s="103">
        <f ca="1">IF(G10="","",ROUND($G$10,0))</f>
        <v>19</v>
      </c>
      <c r="I10" s="103">
        <f t="shared" ca="1" si="9"/>
        <v>23.5</v>
      </c>
      <c r="J10" s="103">
        <f ca="1">IF(I10="","",ROUND($I$10,0))</f>
        <v>24</v>
      </c>
      <c r="K10" s="103">
        <f t="shared" ca="1" si="10"/>
        <v>27.9</v>
      </c>
      <c r="L10" s="103">
        <f ca="1">IF(K10="","",ROUND($K$10,0))</f>
        <v>28</v>
      </c>
      <c r="M10" s="103">
        <f t="shared" ca="1" si="11"/>
        <v>33.700000000000003</v>
      </c>
      <c r="N10" s="103">
        <f ca="1">IF(M10="","",ROUND($M$10,0))</f>
        <v>34</v>
      </c>
      <c r="O10" s="113"/>
      <c r="P10" s="22" t="str">
        <f t="shared" ca="1" si="0"/>
        <v/>
      </c>
      <c r="Q10" s="22" t="str">
        <f t="shared" ca="1" si="1"/>
        <v/>
      </c>
      <c r="R10" s="105" t="str">
        <f t="shared" ref="R10" ca="1" si="15">IF($H$176=I121,I121,"")</f>
        <v/>
      </c>
      <c r="S10" s="24" t="str">
        <f t="shared" ca="1" si="3"/>
        <v/>
      </c>
      <c r="T10" s="24" t="str">
        <f t="shared" ca="1" si="4"/>
        <v/>
      </c>
      <c r="U10" s="21"/>
    </row>
    <row r="11" spans="1:23" ht="18" customHeight="1" x14ac:dyDescent="0.3">
      <c r="A11" s="104"/>
      <c r="B11" s="104"/>
      <c r="C11" s="104"/>
      <c r="D11" s="104"/>
      <c r="E11" s="103">
        <f t="shared" ca="1" si="7"/>
        <v>13</v>
      </c>
      <c r="F11" s="103">
        <f ca="1">IF(E11="","",ROUND($E$11,0))</f>
        <v>13</v>
      </c>
      <c r="G11" s="103">
        <f t="shared" ca="1" si="8"/>
        <v>18.7</v>
      </c>
      <c r="H11" s="103">
        <f ca="1">IF(G11="","",ROUND($G$11,0))</f>
        <v>19</v>
      </c>
      <c r="I11" s="103">
        <f t="shared" ca="1" si="9"/>
        <v>23.6</v>
      </c>
      <c r="J11" s="103">
        <f ca="1">IF(I11="","",ROUND($I$11,0))</f>
        <v>24</v>
      </c>
      <c r="K11" s="103">
        <f t="shared" ca="1" si="10"/>
        <v>28</v>
      </c>
      <c r="L11" s="103">
        <f ca="1">IF(K11="","",ROUND($K$11,0))</f>
        <v>28</v>
      </c>
      <c r="M11" s="103">
        <f t="shared" ca="1" si="11"/>
        <v>33.799999999999997</v>
      </c>
      <c r="N11" s="103">
        <f ca="1">IF(M11="","",ROUND($M$11,0))</f>
        <v>34</v>
      </c>
      <c r="O11" s="113"/>
      <c r="P11" s="22" t="str">
        <f t="shared" ca="1" si="0"/>
        <v/>
      </c>
      <c r="Q11" s="22" t="str">
        <f t="shared" ca="1" si="1"/>
        <v/>
      </c>
      <c r="R11" s="114" t="str">
        <f t="shared" ref="R11" ca="1" si="16">IF($H$176=I122,I122,"")</f>
        <v/>
      </c>
      <c r="S11" s="24" t="str">
        <f t="shared" ca="1" si="3"/>
        <v/>
      </c>
      <c r="T11" s="24" t="str">
        <f t="shared" ca="1" si="4"/>
        <v/>
      </c>
      <c r="U11" s="21"/>
    </row>
    <row r="12" spans="1:23" ht="18" customHeight="1" x14ac:dyDescent="0.5">
      <c r="A12" s="104"/>
      <c r="B12" s="104"/>
      <c r="C12" s="104"/>
      <c r="D12" s="104"/>
      <c r="E12" s="103">
        <f t="shared" ca="1" si="7"/>
        <v>13</v>
      </c>
      <c r="F12" s="103">
        <f ca="1">IF(E12="","",ROUND($E$12,0))</f>
        <v>13</v>
      </c>
      <c r="G12" s="103">
        <f t="shared" ca="1" si="8"/>
        <v>19</v>
      </c>
      <c r="H12" s="103">
        <f ca="1">IF(G12="","",ROUND($G$12,0))</f>
        <v>19</v>
      </c>
      <c r="I12" s="103">
        <f t="shared" ca="1" si="9"/>
        <v>23.7</v>
      </c>
      <c r="J12" s="103">
        <f ca="1">IF(I12="","",ROUND($I$12,0))</f>
        <v>24</v>
      </c>
      <c r="K12" s="103">
        <f t="shared" ca="1" si="10"/>
        <v>28.3</v>
      </c>
      <c r="L12" s="103">
        <f ca="1">IF(K12="","",ROUND($K$12,0))</f>
        <v>28</v>
      </c>
      <c r="M12" s="103">
        <f t="shared" ca="1" si="11"/>
        <v>33.799999999999997</v>
      </c>
      <c r="N12" s="103">
        <f ca="1">IF(M12="","",ROUND($M$12,0))</f>
        <v>34</v>
      </c>
      <c r="O12" s="5" t="s">
        <v>141</v>
      </c>
      <c r="P12" s="22" t="str">
        <f t="shared" ca="1" si="0"/>
        <v/>
      </c>
      <c r="Q12" s="22" t="str">
        <f t="shared" ca="1" si="1"/>
        <v/>
      </c>
      <c r="R12" s="108" t="s">
        <v>141</v>
      </c>
      <c r="S12" s="24" t="str">
        <f t="shared" ca="1" si="3"/>
        <v/>
      </c>
      <c r="T12" s="24" t="str">
        <f t="shared" ca="1" si="4"/>
        <v/>
      </c>
      <c r="U12" s="4" t="s">
        <v>141</v>
      </c>
    </row>
    <row r="13" spans="1:23" ht="18" customHeight="1" x14ac:dyDescent="0.3">
      <c r="A13" s="104"/>
      <c r="B13" s="104"/>
      <c r="C13" s="104"/>
      <c r="D13" s="104"/>
      <c r="E13" s="103">
        <f t="shared" ca="1" si="7"/>
        <v>13.3</v>
      </c>
      <c r="F13" s="103">
        <f ca="1">IF(E13="","",ROUND($E$13,0))</f>
        <v>13</v>
      </c>
      <c r="G13" s="103">
        <f t="shared" ca="1" si="8"/>
        <v>20.2</v>
      </c>
      <c r="H13" s="103">
        <f ca="1">IF(G13="","",ROUND($G$13,0))</f>
        <v>20</v>
      </c>
      <c r="I13" s="103">
        <f t="shared" ca="1" si="9"/>
        <v>24.1</v>
      </c>
      <c r="J13" s="103">
        <f ca="1">IF(I13="","",ROUND($I$13,0))</f>
        <v>24</v>
      </c>
      <c r="K13" s="103">
        <f t="shared" ca="1" si="10"/>
        <v>28.4</v>
      </c>
      <c r="L13" s="103">
        <f ca="1">IF(K13="","",ROUND($K$13,0))</f>
        <v>28</v>
      </c>
      <c r="M13" s="103">
        <f t="shared" ca="1" si="11"/>
        <v>33.9</v>
      </c>
      <c r="N13" s="103">
        <f ca="1">IF(M13="","",ROUND($M$13,0))</f>
        <v>34</v>
      </c>
      <c r="O13" s="113"/>
      <c r="P13" s="22" t="str">
        <f t="shared" ca="1" si="0"/>
        <v/>
      </c>
      <c r="Q13" s="22" t="str">
        <f t="shared" ca="1" si="1"/>
        <v/>
      </c>
      <c r="R13" s="105" t="str">
        <f t="shared" ref="R13:R22" ca="1" si="17">IF($H$176=I124,I124,"")</f>
        <v/>
      </c>
      <c r="S13" s="24" t="str">
        <f t="shared" ca="1" si="3"/>
        <v/>
      </c>
      <c r="T13" s="24" t="str">
        <f t="shared" ca="1" si="4"/>
        <v/>
      </c>
      <c r="U13" s="21"/>
    </row>
    <row r="14" spans="1:23" ht="18" customHeight="1" x14ac:dyDescent="0.3">
      <c r="A14" s="104"/>
      <c r="B14" s="104"/>
      <c r="C14" s="104"/>
      <c r="D14" s="104"/>
      <c r="E14" s="103">
        <f t="shared" ca="1" si="7"/>
        <v>13.8</v>
      </c>
      <c r="F14" s="103">
        <f ca="1">IF(E14="","",ROUND($E$14,0))</f>
        <v>14</v>
      </c>
      <c r="G14" s="103">
        <f t="shared" ca="1" si="8"/>
        <v>20.7</v>
      </c>
      <c r="H14" s="103">
        <f ca="1">IF(G14="","",ROUND($G$14,0))</f>
        <v>21</v>
      </c>
      <c r="I14" s="103">
        <f t="shared" ca="1" si="9"/>
        <v>24.3</v>
      </c>
      <c r="J14" s="103">
        <f ca="1">IF(I14="","",ROUND($I$14,0))</f>
        <v>24</v>
      </c>
      <c r="K14" s="103">
        <f t="shared" ca="1" si="10"/>
        <v>28.6</v>
      </c>
      <c r="L14" s="103">
        <f ca="1">IF(K14="","",ROUND($K$14,0))</f>
        <v>29</v>
      </c>
      <c r="M14" s="103">
        <f t="shared" ca="1" si="11"/>
        <v>34</v>
      </c>
      <c r="N14" s="103">
        <f ca="1">IF(M14="","",ROUND($M$14,0))</f>
        <v>34</v>
      </c>
      <c r="O14" s="113"/>
      <c r="P14" s="22" t="str">
        <f t="shared" ca="1" si="0"/>
        <v/>
      </c>
      <c r="Q14" s="22" t="str">
        <f t="shared" ca="1" si="1"/>
        <v/>
      </c>
      <c r="R14" s="105" t="str">
        <f t="shared" ca="1" si="17"/>
        <v/>
      </c>
      <c r="S14" s="24" t="str">
        <f t="shared" ca="1" si="3"/>
        <v/>
      </c>
      <c r="T14" s="24" t="str">
        <f t="shared" ca="1" si="4"/>
        <v/>
      </c>
      <c r="U14" s="21"/>
    </row>
    <row r="15" spans="1:23" ht="18" customHeight="1" x14ac:dyDescent="0.3">
      <c r="A15" s="104"/>
      <c r="B15" s="104"/>
      <c r="C15" s="104"/>
      <c r="D15" s="104"/>
      <c r="E15" s="103">
        <f t="shared" ca="1" si="7"/>
        <v>14.3</v>
      </c>
      <c r="F15" s="103">
        <f ca="1">IF(E15="","",ROUND($E$15,0))</f>
        <v>14</v>
      </c>
      <c r="G15" s="103">
        <f t="shared" ca="1" si="8"/>
        <v>20.9</v>
      </c>
      <c r="H15" s="103">
        <f ca="1">IF(G15="","",ROUND($G$15,0))</f>
        <v>21</v>
      </c>
      <c r="I15" s="103">
        <f t="shared" ca="1" si="9"/>
        <v>24.5</v>
      </c>
      <c r="J15" s="103">
        <f ca="1">IF(I15="","",ROUND($I$15,0))</f>
        <v>25</v>
      </c>
      <c r="K15" s="103">
        <f t="shared" ca="1" si="10"/>
        <v>28.7</v>
      </c>
      <c r="L15" s="103">
        <f ca="1">IF(K15="","",ROUND($K$15,0))</f>
        <v>29</v>
      </c>
      <c r="M15" s="103">
        <f t="shared" ca="1" si="11"/>
        <v>34.1</v>
      </c>
      <c r="N15" s="103">
        <f ca="1">IF(M15="","",ROUND($M$15,0))</f>
        <v>34</v>
      </c>
      <c r="O15" s="113"/>
      <c r="P15" s="22" t="str">
        <f t="shared" ca="1" si="0"/>
        <v/>
      </c>
      <c r="Q15" s="22" t="str">
        <f t="shared" ca="1" si="1"/>
        <v/>
      </c>
      <c r="R15" s="105" t="str">
        <f t="shared" ca="1" si="17"/>
        <v/>
      </c>
      <c r="S15" s="24" t="str">
        <f t="shared" ca="1" si="3"/>
        <v/>
      </c>
      <c r="T15" s="24" t="str">
        <f t="shared" ca="1" si="4"/>
        <v/>
      </c>
      <c r="U15" s="21"/>
    </row>
    <row r="16" spans="1:23" ht="18" customHeight="1" x14ac:dyDescent="0.3">
      <c r="A16" s="104"/>
      <c r="B16" s="104"/>
      <c r="C16" s="104"/>
      <c r="D16" s="104"/>
      <c r="E16" s="103">
        <f t="shared" ca="1" si="7"/>
        <v>14.6</v>
      </c>
      <c r="F16" s="103">
        <f ca="1">IF(E16="","",ROUND($E$16,0))</f>
        <v>15</v>
      </c>
      <c r="G16" s="103">
        <f t="shared" ca="1" si="8"/>
        <v>21.3</v>
      </c>
      <c r="H16" s="103">
        <f ca="1">IF(G16="","",ROUND($G$16,0))</f>
        <v>21</v>
      </c>
      <c r="I16" s="103">
        <f t="shared" ca="1" si="9"/>
        <v>24.5</v>
      </c>
      <c r="J16" s="103">
        <f ca="1">IF(I16="","",ROUND($I$16,0))</f>
        <v>25</v>
      </c>
      <c r="K16" s="103">
        <f t="shared" ca="1" si="10"/>
        <v>29.3</v>
      </c>
      <c r="L16" s="103">
        <f ca="1">IF(K16="","",ROUND($K$16,0))</f>
        <v>29</v>
      </c>
      <c r="M16" s="103">
        <f t="shared" ca="1" si="11"/>
        <v>34.1</v>
      </c>
      <c r="N16" s="103">
        <f ca="1">IF(M16="","",ROUND($M$16,0))</f>
        <v>34</v>
      </c>
      <c r="O16" s="113"/>
      <c r="P16" s="22" t="str">
        <f t="shared" ca="1" si="0"/>
        <v/>
      </c>
      <c r="Q16" s="22" t="str">
        <f t="shared" ca="1" si="1"/>
        <v/>
      </c>
      <c r="R16" s="105" t="str">
        <f t="shared" ca="1" si="17"/>
        <v/>
      </c>
      <c r="S16" s="24" t="str">
        <f t="shared" ca="1" si="3"/>
        <v/>
      </c>
      <c r="T16" s="24" t="str">
        <f t="shared" ca="1" si="4"/>
        <v/>
      </c>
      <c r="U16" s="21"/>
      <c r="V16" s="11"/>
    </row>
    <row r="17" spans="1:33" ht="18" customHeight="1" x14ac:dyDescent="0.3">
      <c r="A17" s="104"/>
      <c r="B17" s="104"/>
      <c r="C17" s="104"/>
      <c r="D17" s="104"/>
      <c r="E17" s="103">
        <f t="shared" ca="1" si="7"/>
        <v>14.9</v>
      </c>
      <c r="F17" s="103">
        <f ca="1">IF(E17="","",ROUND($E$17,0))</f>
        <v>15</v>
      </c>
      <c r="G17" s="103">
        <f t="shared" ca="1" si="8"/>
        <v>21.6</v>
      </c>
      <c r="H17" s="103">
        <f ca="1">IF(G17="","",ROUND($G$17,0))</f>
        <v>22</v>
      </c>
      <c r="I17" s="103">
        <f t="shared" ca="1" si="9"/>
        <v>24.8</v>
      </c>
      <c r="J17" s="103">
        <f ca="1">IF(I17="","",ROUND($I$17,0))</f>
        <v>25</v>
      </c>
      <c r="K17" s="103">
        <f t="shared" ca="1" si="10"/>
        <v>29.8</v>
      </c>
      <c r="L17" s="103">
        <f ca="1">IF(K17="","",ROUND($K$17,0))</f>
        <v>30</v>
      </c>
      <c r="M17" s="103">
        <f t="shared" ca="1" si="11"/>
        <v>34.4</v>
      </c>
      <c r="N17" s="103">
        <f ca="1">IF(M17="","",ROUND($M$17,0))</f>
        <v>34</v>
      </c>
      <c r="O17" s="113"/>
      <c r="P17" s="22" t="str">
        <f t="shared" ca="1" si="0"/>
        <v/>
      </c>
      <c r="Q17" s="22" t="str">
        <f t="shared" ca="1" si="1"/>
        <v/>
      </c>
      <c r="R17" s="105" t="str">
        <f t="shared" ca="1" si="17"/>
        <v/>
      </c>
      <c r="S17" s="24" t="str">
        <f t="shared" ca="1" si="3"/>
        <v/>
      </c>
      <c r="T17" s="24" t="str">
        <f t="shared" ca="1" si="4"/>
        <v/>
      </c>
      <c r="U17" s="21"/>
    </row>
    <row r="18" spans="1:33" ht="18" customHeight="1" x14ac:dyDescent="0.3">
      <c r="A18" s="104"/>
      <c r="B18" s="104"/>
      <c r="C18" s="104"/>
      <c r="D18" s="104"/>
      <c r="E18" s="103">
        <f t="shared" ca="1" si="7"/>
        <v>15</v>
      </c>
      <c r="F18" s="103">
        <f ca="1">IF(E18="","",ROUND($E$18,0))</f>
        <v>15</v>
      </c>
      <c r="G18" s="103">
        <f t="shared" ca="1" si="8"/>
        <v>21.9</v>
      </c>
      <c r="H18" s="103">
        <f ca="1">IF(G18="","",ROUND($G$18,0))</f>
        <v>22</v>
      </c>
      <c r="I18" s="103">
        <f t="shared" ca="1" si="9"/>
        <v>25.8</v>
      </c>
      <c r="J18" s="103">
        <f ca="1">IF(I18="","",ROUND($I$18,0))</f>
        <v>26</v>
      </c>
      <c r="K18" s="103">
        <f t="shared" ca="1" si="10"/>
        <v>30</v>
      </c>
      <c r="L18" s="103">
        <f ca="1">IF(K18="","",ROUND($K$18,0))</f>
        <v>30</v>
      </c>
      <c r="M18" s="103">
        <f t="shared" ca="1" si="11"/>
        <v>34.799999999999997</v>
      </c>
      <c r="N18" s="103">
        <f ca="1">IF(M18="","",ROUND($M$18,0))</f>
        <v>35</v>
      </c>
      <c r="O18" s="113"/>
      <c r="P18" s="22" t="str">
        <f t="shared" ca="1" si="0"/>
        <v/>
      </c>
      <c r="Q18" s="22" t="str">
        <f t="shared" ca="1" si="1"/>
        <v/>
      </c>
      <c r="R18" s="105" t="str">
        <f t="shared" ca="1" si="17"/>
        <v/>
      </c>
      <c r="S18" s="24" t="str">
        <f t="shared" ca="1" si="3"/>
        <v/>
      </c>
      <c r="T18" s="24" t="str">
        <f t="shared" ca="1" si="4"/>
        <v/>
      </c>
      <c r="U18" s="21"/>
    </row>
    <row r="19" spans="1:33" ht="18" customHeight="1" x14ac:dyDescent="0.3">
      <c r="A19" s="104"/>
      <c r="B19" s="104"/>
      <c r="C19" s="104"/>
      <c r="D19" s="104"/>
      <c r="E19" s="103">
        <f t="shared" ca="1" si="7"/>
        <v>15</v>
      </c>
      <c r="F19" s="103">
        <f ca="1">IF(E19="","",ROUND($E$19,0))</f>
        <v>15</v>
      </c>
      <c r="G19" s="103">
        <f t="shared" ca="1" si="8"/>
        <v>22</v>
      </c>
      <c r="H19" s="103">
        <f ca="1">IF(G19="","",ROUND($G$19,0))</f>
        <v>22</v>
      </c>
      <c r="I19" s="103">
        <f t="shared" ca="1" si="9"/>
        <v>25.8</v>
      </c>
      <c r="J19" s="103">
        <f ca="1">IF(I19="","",ROUND($I$18,0))</f>
        <v>26</v>
      </c>
      <c r="K19" s="103">
        <f t="shared" ca="1" si="10"/>
        <v>30.1</v>
      </c>
      <c r="L19" s="103">
        <f ca="1">IF(K19="","",ROUND($K$19,0))</f>
        <v>30</v>
      </c>
      <c r="M19" s="103">
        <f t="shared" ca="1" si="11"/>
        <v>36</v>
      </c>
      <c r="N19" s="103">
        <f ca="1">IF(M19="","",ROUND($M$19,0))</f>
        <v>36</v>
      </c>
      <c r="O19" s="113"/>
      <c r="P19" s="22" t="str">
        <f t="shared" ca="1" si="0"/>
        <v/>
      </c>
      <c r="Q19" s="22" t="str">
        <f t="shared" ca="1" si="1"/>
        <v/>
      </c>
      <c r="R19" s="105" t="str">
        <f t="shared" ca="1" si="17"/>
        <v/>
      </c>
      <c r="S19" s="24" t="str">
        <f t="shared" ca="1" si="3"/>
        <v/>
      </c>
      <c r="T19" s="24" t="str">
        <f t="shared" ca="1" si="4"/>
        <v/>
      </c>
      <c r="U19" s="21"/>
    </row>
    <row r="20" spans="1:33" ht="18" customHeight="1" x14ac:dyDescent="0.3">
      <c r="A20" s="100"/>
      <c r="B20" s="100"/>
      <c r="C20" s="100"/>
      <c r="D20" s="100"/>
      <c r="E20" s="103">
        <f t="shared" ca="1" si="7"/>
        <v>15</v>
      </c>
      <c r="F20" s="103">
        <f ca="1">IF(E20="","",ROUND($E$20,0))</f>
        <v>15</v>
      </c>
      <c r="G20" s="103">
        <f t="shared" ca="1" si="8"/>
        <v>22.1</v>
      </c>
      <c r="H20" s="103">
        <f ca="1">IF(G20="","",ROUND($G$20,0))</f>
        <v>22</v>
      </c>
      <c r="I20" s="103">
        <f t="shared" ca="1" si="9"/>
        <v>25.9</v>
      </c>
      <c r="J20" s="103">
        <f ca="1">IF(I20="","",ROUND($I$20,0))</f>
        <v>26</v>
      </c>
      <c r="K20" s="103">
        <f t="shared" ca="1" si="10"/>
        <v>30.2</v>
      </c>
      <c r="L20" s="103">
        <f ca="1">IF(K20="","",ROUND($K$20,0))</f>
        <v>30</v>
      </c>
      <c r="M20" s="103">
        <f t="shared" ca="1" si="11"/>
        <v>36</v>
      </c>
      <c r="N20" s="103">
        <f ca="1">IF(M20="","",ROUND($M$20,0))</f>
        <v>36</v>
      </c>
      <c r="O20" s="113"/>
      <c r="P20" s="22" t="str">
        <f t="shared" ca="1" si="0"/>
        <v/>
      </c>
      <c r="Q20" s="22" t="str">
        <f t="shared" ca="1" si="1"/>
        <v/>
      </c>
      <c r="R20" s="105" t="str">
        <f t="shared" ca="1" si="17"/>
        <v/>
      </c>
      <c r="S20" s="24">
        <f t="shared" ca="1" si="3"/>
        <v>31.1</v>
      </c>
      <c r="T20" s="24" t="str">
        <f t="shared" ca="1" si="4"/>
        <v/>
      </c>
      <c r="U20" s="21"/>
      <c r="AG20" s="68"/>
    </row>
    <row r="21" spans="1:33" ht="18" customHeight="1" x14ac:dyDescent="0.3">
      <c r="A21" s="100"/>
      <c r="B21" s="100"/>
      <c r="C21" s="100"/>
      <c r="D21" s="100"/>
      <c r="E21" s="103">
        <f t="shared" ca="1" si="7"/>
        <v>15.5</v>
      </c>
      <c r="F21" s="103">
        <f ca="1">IF(E21="","",ROUND($E$21,0))</f>
        <v>16</v>
      </c>
      <c r="G21" s="103">
        <f t="shared" ca="1" si="8"/>
        <v>22.2</v>
      </c>
      <c r="H21" s="103">
        <f ca="1">IF(G21="","",ROUND($G$21,0))</f>
        <v>22</v>
      </c>
      <c r="I21" s="103">
        <f t="shared" ca="1" si="9"/>
        <v>26</v>
      </c>
      <c r="J21" s="103">
        <f ca="1">IF(I21="","",ROUND($I$21,0))</f>
        <v>26</v>
      </c>
      <c r="K21" s="103">
        <f t="shared" ca="1" si="10"/>
        <v>30.4</v>
      </c>
      <c r="L21" s="103">
        <f ca="1">IF(K21="","",ROUND($K$21,0))</f>
        <v>30</v>
      </c>
      <c r="M21" s="103">
        <f t="shared" ca="1" si="11"/>
        <v>38.200000000000003</v>
      </c>
      <c r="N21" s="103">
        <f ca="1">IF(M21="","",ROUND($M$21,0))</f>
        <v>38</v>
      </c>
      <c r="O21" s="113"/>
      <c r="P21" s="22" t="str">
        <f t="shared" ca="1" si="0"/>
        <v/>
      </c>
      <c r="Q21" s="22" t="str">
        <f t="shared" ca="1" si="1"/>
        <v/>
      </c>
      <c r="R21" s="105" t="str">
        <f t="shared" ca="1" si="17"/>
        <v/>
      </c>
      <c r="S21" s="24">
        <f t="shared" ca="1" si="3"/>
        <v>31.1</v>
      </c>
      <c r="T21" s="24" t="str">
        <f t="shared" ca="1" si="4"/>
        <v/>
      </c>
      <c r="U21" s="21"/>
    </row>
    <row r="22" spans="1:33" ht="18" customHeight="1" x14ac:dyDescent="0.3">
      <c r="A22" s="106" t="s">
        <v>140</v>
      </c>
      <c r="B22" s="103">
        <f>$F$38</f>
        <v>1</v>
      </c>
      <c r="C22" s="103">
        <f>($B$46)</f>
        <v>25.499999999999964</v>
      </c>
      <c r="D22" s="103">
        <f>$F$39</f>
        <v>50</v>
      </c>
      <c r="E22" s="103">
        <f t="shared" ca="1" si="7"/>
        <v>15.8</v>
      </c>
      <c r="F22" s="103">
        <f ca="1">IF(E22="","",ROUND($E$22,0))</f>
        <v>16</v>
      </c>
      <c r="G22" s="103">
        <f t="shared" ca="1" si="8"/>
        <v>22.4</v>
      </c>
      <c r="H22" s="103">
        <f ca="1">IF(G22="","",ROUND($G$22,0))</f>
        <v>22</v>
      </c>
      <c r="I22" s="103">
        <f t="shared" ca="1" si="9"/>
        <v>26.1</v>
      </c>
      <c r="J22" s="103">
        <f ca="1">IF(I22="","",ROUND($I$22,0))</f>
        <v>26</v>
      </c>
      <c r="K22" s="103">
        <f t="shared" ca="1" si="10"/>
        <v>30.6</v>
      </c>
      <c r="L22" s="103">
        <f ca="1">IF(K22="","",ROUND($K$22,0))</f>
        <v>31</v>
      </c>
      <c r="M22" s="103">
        <f t="shared" ca="1" si="11"/>
        <v>39.1</v>
      </c>
      <c r="N22" s="103">
        <f ca="1">IF(M22="","",ROUND($M$22,0))</f>
        <v>39</v>
      </c>
      <c r="O22" s="113"/>
      <c r="P22" s="22" t="str">
        <f t="shared" ca="1" si="0"/>
        <v/>
      </c>
      <c r="Q22" s="22" t="str">
        <f t="shared" ca="1" si="1"/>
        <v/>
      </c>
      <c r="R22" s="105" t="str">
        <f t="shared" ca="1" si="17"/>
        <v/>
      </c>
      <c r="S22" s="24">
        <f t="shared" ca="1" si="3"/>
        <v>31.1</v>
      </c>
      <c r="T22" s="24" t="str">
        <f t="shared" ca="1" si="4"/>
        <v/>
      </c>
      <c r="U22" s="21"/>
    </row>
    <row r="23" spans="1:33" ht="18" customHeight="1" x14ac:dyDescent="0.3">
      <c r="A23" s="106" t="s">
        <v>55</v>
      </c>
      <c r="B23" s="103">
        <f>'NUR MIT PASSWORT'!$J$22</f>
        <v>1</v>
      </c>
      <c r="C23" s="103"/>
      <c r="D23" s="103">
        <f>'NUR MIT PASSWORT'!$J$23</f>
        <v>50</v>
      </c>
      <c r="E23" s="103">
        <f t="shared" ca="1" si="7"/>
        <v>16.8</v>
      </c>
      <c r="F23" s="103">
        <f ca="1">IF(E23="","",ROUND($E$23,0))</f>
        <v>17</v>
      </c>
      <c r="G23" s="103">
        <f t="shared" ca="1" si="8"/>
        <v>22.4</v>
      </c>
      <c r="H23" s="103">
        <f ca="1">IF(G23="","",ROUND($G$23,0))</f>
        <v>22</v>
      </c>
      <c r="I23" s="103">
        <f t="shared" ca="1" si="9"/>
        <v>26.5</v>
      </c>
      <c r="J23" s="103">
        <f ca="1">IF(I23="","",ROUND($I$23,0))</f>
        <v>27</v>
      </c>
      <c r="K23" s="103">
        <f t="shared" ca="1" si="10"/>
        <v>30.7</v>
      </c>
      <c r="L23" s="103">
        <f ca="1">IF(K23="","",ROUND($K$23,0))</f>
        <v>31</v>
      </c>
      <c r="M23" s="103">
        <f t="shared" ca="1" si="11"/>
        <v>40.1</v>
      </c>
      <c r="N23" s="103">
        <f ca="1">IF(M23="","",ROUND($M$23,0))</f>
        <v>40</v>
      </c>
      <c r="O23" s="104"/>
      <c r="P23" s="104"/>
      <c r="Q23" s="104"/>
      <c r="R23" s="11"/>
      <c r="S23" s="11"/>
      <c r="T23" s="11"/>
      <c r="U23" s="11"/>
    </row>
    <row r="24" spans="1:33" ht="18" customHeight="1" x14ac:dyDescent="0.3">
      <c r="A24" s="106" t="s">
        <v>56</v>
      </c>
      <c r="B24" s="103"/>
      <c r="C24" s="103"/>
      <c r="D24" s="103"/>
      <c r="E24" s="103">
        <f t="shared" ca="1" si="7"/>
        <v>17.2</v>
      </c>
      <c r="F24" s="103">
        <f ca="1">IF(E24="","",ROUND($E$24,0))</f>
        <v>17</v>
      </c>
      <c r="G24" s="103">
        <f t="shared" ca="1" si="8"/>
        <v>22.5</v>
      </c>
      <c r="H24" s="103">
        <f ca="1">IF(G24="","",ROUND($G$24,0))</f>
        <v>23</v>
      </c>
      <c r="I24" s="103">
        <f t="shared" ca="1" si="9"/>
        <v>26.7</v>
      </c>
      <c r="J24" s="103">
        <f ca="1">IF(I24="","",ROUND($I$24,0))</f>
        <v>27</v>
      </c>
      <c r="K24" s="103">
        <f t="shared" ca="1" si="10"/>
        <v>31.1</v>
      </c>
      <c r="L24" s="103">
        <f ca="1">IF(K24="","",ROUND($K$24,0))</f>
        <v>31</v>
      </c>
      <c r="M24" s="103">
        <f t="shared" ca="1" si="11"/>
        <v>40.799999999999997</v>
      </c>
      <c r="N24" s="103">
        <f ca="1">IF(M24="","",ROUND($M$24,0))</f>
        <v>41</v>
      </c>
      <c r="O24" s="104"/>
      <c r="P24" s="104"/>
      <c r="Q24" s="104"/>
      <c r="R24" s="11"/>
      <c r="S24" s="11"/>
      <c r="T24" s="11"/>
      <c r="U24" s="11"/>
    </row>
    <row r="25" spans="1:33" ht="18" customHeight="1" x14ac:dyDescent="0.3">
      <c r="A25" s="106" t="s">
        <v>73</v>
      </c>
      <c r="B25" s="103">
        <v>70</v>
      </c>
      <c r="C25" s="103" t="s">
        <v>22</v>
      </c>
      <c r="D25" s="103">
        <f>ROUND(((B34-B35)/(B36-B35))*98+1,2)</f>
        <v>99.98</v>
      </c>
      <c r="E25" s="103">
        <f t="shared" ca="1" si="7"/>
        <v>17.3</v>
      </c>
      <c r="F25" s="103">
        <f ca="1">IF(E25="","",ROUND($E$25,0))</f>
        <v>17</v>
      </c>
      <c r="G25" s="103">
        <f t="shared" ca="1" si="8"/>
        <v>22.5</v>
      </c>
      <c r="H25" s="103">
        <f ca="1">IF(G25="","",ROUND($G$25,0))</f>
        <v>23</v>
      </c>
      <c r="I25" s="103">
        <f t="shared" ca="1" si="9"/>
        <v>27.1</v>
      </c>
      <c r="J25" s="103">
        <f ca="1">IF(I25="","",ROUND($I$25,0))</f>
        <v>27</v>
      </c>
      <c r="K25" s="103">
        <f t="shared" ca="1" si="10"/>
        <v>31.1</v>
      </c>
      <c r="L25" s="103">
        <f ca="1">IF(K25="","",ROUND($K$25,0))</f>
        <v>31</v>
      </c>
      <c r="M25" s="103">
        <f t="shared" ca="1" si="11"/>
        <v>41</v>
      </c>
      <c r="N25" s="103">
        <f ca="1">IF(M25="","",ROUND($M$25,0))</f>
        <v>41</v>
      </c>
      <c r="O25" s="104"/>
      <c r="P25" s="104"/>
      <c r="Q25" s="104"/>
      <c r="R25" s="11"/>
      <c r="S25" s="11"/>
      <c r="T25" s="11"/>
      <c r="U25" s="11"/>
    </row>
    <row r="26" spans="1:33" ht="18" customHeight="1" x14ac:dyDescent="0.3">
      <c r="A26" s="106" t="s">
        <v>31</v>
      </c>
      <c r="B26" s="103">
        <v>99</v>
      </c>
      <c r="C26" s="103" t="s">
        <v>21</v>
      </c>
      <c r="D26" s="103">
        <f>ROUND(((LN(B41/(1-B41)))-B50)/B51,2)</f>
        <v>50</v>
      </c>
      <c r="E26" s="103">
        <f t="shared" ca="1" si="7"/>
        <v>17.399999999999999</v>
      </c>
      <c r="F26" s="103">
        <f ca="1">IF(E26="","",ROUND($E$26,0))</f>
        <v>17</v>
      </c>
      <c r="G26" s="103">
        <f t="shared" ca="1" si="8"/>
        <v>22.7</v>
      </c>
      <c r="H26" s="103">
        <f ca="1">IF(G26="","",ROUND($G$26,0))</f>
        <v>23</v>
      </c>
      <c r="I26" s="103">
        <f t="shared" ca="1" si="9"/>
        <v>27.2</v>
      </c>
      <c r="J26" s="103">
        <f ca="1">IF(I26="","",ROUND($I$26,0))</f>
        <v>27</v>
      </c>
      <c r="K26" s="103">
        <f t="shared" ca="1" si="10"/>
        <v>31.1</v>
      </c>
      <c r="L26" s="103">
        <f ca="1">IF(K26="","",ROUND($K$26,0))</f>
        <v>31</v>
      </c>
      <c r="M26" s="103">
        <f t="shared" ca="1" si="11"/>
        <v>41</v>
      </c>
      <c r="N26" s="103">
        <f ca="1">IF(M26="","",ROUND($M$26,0))</f>
        <v>41</v>
      </c>
      <c r="O26" s="104"/>
      <c r="P26" s="104"/>
      <c r="Q26" s="104"/>
      <c r="R26" s="11"/>
      <c r="S26" s="11"/>
      <c r="T26" s="11"/>
      <c r="U26" s="11"/>
    </row>
    <row r="27" spans="1:33" ht="18" customHeight="1" x14ac:dyDescent="0.3">
      <c r="A27" s="100"/>
      <c r="B27" s="100"/>
      <c r="C27" s="100"/>
      <c r="D27" s="104"/>
      <c r="E27" s="104"/>
      <c r="F27" s="104"/>
      <c r="G27" s="104"/>
      <c r="H27" s="104"/>
      <c r="I27" s="104"/>
      <c r="J27" s="104"/>
      <c r="K27" s="104"/>
      <c r="L27" s="104"/>
      <c r="M27" s="104"/>
      <c r="N27" s="104"/>
      <c r="O27" s="104"/>
      <c r="P27" s="104"/>
      <c r="Q27" s="104"/>
      <c r="R27" s="11"/>
      <c r="S27" s="11"/>
      <c r="T27" s="11"/>
      <c r="U27" s="11"/>
    </row>
    <row r="28" spans="1:33" x14ac:dyDescent="0.3">
      <c r="A28" s="100"/>
      <c r="B28" s="100"/>
      <c r="C28" s="100"/>
      <c r="D28" s="104"/>
      <c r="E28" s="104"/>
      <c r="F28" s="104"/>
      <c r="G28" s="104"/>
      <c r="H28" s="104"/>
      <c r="I28" s="104"/>
      <c r="J28" s="104"/>
      <c r="K28" s="104"/>
      <c r="L28" s="104"/>
      <c r="M28" s="104"/>
      <c r="N28" s="104"/>
      <c r="O28" s="104"/>
      <c r="P28" s="104"/>
      <c r="Q28" s="104"/>
      <c r="R28" s="11"/>
      <c r="S28" s="11"/>
      <c r="T28" s="11"/>
      <c r="U28" s="11"/>
    </row>
    <row r="29" spans="1:33" x14ac:dyDescent="0.3">
      <c r="A29" s="100"/>
      <c r="B29" s="100"/>
      <c r="C29" s="104"/>
      <c r="D29" s="100"/>
      <c r="E29" s="104"/>
      <c r="F29" s="104"/>
      <c r="G29" s="104"/>
      <c r="H29" s="104"/>
      <c r="I29" s="104"/>
      <c r="J29" s="104"/>
      <c r="K29" s="104"/>
      <c r="L29" s="104"/>
      <c r="M29" s="104"/>
      <c r="N29" s="104"/>
      <c r="O29" s="104"/>
      <c r="P29" s="104"/>
      <c r="Q29" s="104"/>
      <c r="R29" s="11"/>
      <c r="S29" s="11"/>
      <c r="T29" s="11"/>
      <c r="U29" s="11"/>
    </row>
    <row r="30" spans="1:33" x14ac:dyDescent="0.3">
      <c r="A30" s="104"/>
      <c r="B30" s="109"/>
      <c r="C30" s="104"/>
      <c r="D30" s="104"/>
      <c r="E30" s="104"/>
      <c r="F30" s="104"/>
      <c r="G30" s="104"/>
      <c r="H30" s="104"/>
      <c r="I30" s="104"/>
      <c r="J30" s="104"/>
      <c r="K30" s="104"/>
      <c r="L30" s="104"/>
      <c r="M30" s="104"/>
      <c r="N30" s="104"/>
      <c r="O30" s="104"/>
      <c r="P30" s="104"/>
      <c r="Q30" s="104"/>
      <c r="R30" s="11"/>
      <c r="S30" s="11"/>
      <c r="T30" s="11"/>
      <c r="U30" s="11"/>
    </row>
    <row r="31" spans="1:33" x14ac:dyDescent="0.3">
      <c r="A31" s="104"/>
      <c r="B31" s="109"/>
      <c r="C31" s="104"/>
      <c r="D31" s="104"/>
      <c r="E31" s="104"/>
      <c r="F31" s="104"/>
      <c r="G31" s="104"/>
      <c r="H31" s="104"/>
      <c r="I31" s="104"/>
      <c r="J31" s="104"/>
      <c r="K31" s="104"/>
      <c r="L31" s="104"/>
      <c r="M31" s="104"/>
      <c r="N31" s="104"/>
      <c r="O31" s="104"/>
      <c r="P31" s="104"/>
      <c r="Q31" s="104"/>
      <c r="R31" s="11"/>
      <c r="S31" s="11"/>
      <c r="T31" s="11"/>
      <c r="U31" s="11"/>
    </row>
    <row r="32" spans="1:33" x14ac:dyDescent="0.3">
      <c r="A32" s="110"/>
      <c r="B32" s="109"/>
      <c r="C32" s="104"/>
      <c r="D32" s="104"/>
      <c r="E32" s="104"/>
      <c r="F32" s="104"/>
      <c r="G32" s="104"/>
      <c r="H32" s="104"/>
      <c r="I32" s="104"/>
      <c r="J32" s="104"/>
      <c r="K32" s="104"/>
      <c r="L32" s="104"/>
      <c r="M32" s="104"/>
      <c r="N32" s="104"/>
      <c r="O32" s="104"/>
      <c r="P32" s="104"/>
      <c r="Q32" s="104"/>
      <c r="R32" s="11"/>
      <c r="S32" s="11"/>
      <c r="T32" s="11"/>
      <c r="U32" s="11"/>
    </row>
    <row r="33" spans="1:21" x14ac:dyDescent="0.3">
      <c r="A33" s="104" t="s">
        <v>99</v>
      </c>
      <c r="B33" s="104" t="s">
        <v>100</v>
      </c>
      <c r="C33" s="104"/>
      <c r="D33" s="104"/>
      <c r="E33" s="104"/>
      <c r="F33" s="104"/>
      <c r="G33" s="104"/>
      <c r="H33" s="104"/>
      <c r="I33" s="104"/>
      <c r="J33" s="104"/>
      <c r="K33" s="104"/>
      <c r="L33" s="104"/>
      <c r="M33" s="104"/>
      <c r="N33" s="104"/>
      <c r="O33" s="104"/>
      <c r="P33" s="104"/>
      <c r="Q33" s="104"/>
      <c r="R33" s="11"/>
      <c r="S33" s="11"/>
      <c r="T33" s="11"/>
      <c r="U33" s="11"/>
    </row>
    <row r="34" spans="1:21" x14ac:dyDescent="0.3">
      <c r="A34" s="104" t="s">
        <v>101</v>
      </c>
      <c r="B34" s="104">
        <f>(EXP(B50+B51*B25))/((EXP(B50+B51*B25)+1))</f>
        <v>0.99976276886208526</v>
      </c>
      <c r="C34" s="104"/>
      <c r="D34" s="104"/>
      <c r="E34" s="104"/>
      <c r="F34" s="104"/>
      <c r="G34" s="104"/>
      <c r="H34" s="104"/>
      <c r="I34" s="104"/>
      <c r="J34" s="104"/>
      <c r="K34" s="104"/>
      <c r="L34" s="104"/>
      <c r="M34" s="104"/>
      <c r="N34" s="104"/>
      <c r="O34" s="104"/>
      <c r="P34" s="104"/>
      <c r="Q34" s="104"/>
      <c r="R34" s="11"/>
      <c r="S34" s="11"/>
      <c r="T34" s="11"/>
      <c r="U34" s="11"/>
    </row>
    <row r="35" spans="1:21" x14ac:dyDescent="0.3">
      <c r="A35" s="104" t="s">
        <v>102</v>
      </c>
      <c r="B35" s="104">
        <f>(EXP(B50+B51*B23))/((EXP(B50+B51*B23)+1))</f>
        <v>9.9999985163325526E-3</v>
      </c>
      <c r="C35" s="106"/>
      <c r="D35" s="103"/>
      <c r="E35" s="103"/>
      <c r="F35" s="103"/>
      <c r="G35" s="104"/>
      <c r="H35" s="104"/>
      <c r="I35" s="100"/>
      <c r="J35" s="104"/>
      <c r="K35" s="104"/>
      <c r="L35" s="104"/>
      <c r="M35" s="104"/>
      <c r="N35" s="104"/>
      <c r="O35" s="104"/>
      <c r="P35" s="104"/>
      <c r="Q35" s="104"/>
      <c r="R35" s="11"/>
      <c r="S35" s="11"/>
      <c r="T35" s="11"/>
      <c r="U35" s="11"/>
    </row>
    <row r="36" spans="1:21" x14ac:dyDescent="0.3">
      <c r="A36" s="104" t="s">
        <v>103</v>
      </c>
      <c r="B36" s="104">
        <f>(EXP(B50+B51*D23))/((EXP(B50+B51*D23)+1))</f>
        <v>0.99000000148366762</v>
      </c>
      <c r="C36" s="104"/>
      <c r="D36" s="104"/>
      <c r="E36" s="100" t="s">
        <v>24</v>
      </c>
      <c r="F36" s="104">
        <f>(4.59512*(F38+F39))/(F38-F39)</f>
        <v>-4.7826759183673468</v>
      </c>
      <c r="G36" s="104"/>
      <c r="H36" s="104"/>
      <c r="I36" s="100"/>
      <c r="J36" s="104"/>
      <c r="K36" s="104"/>
      <c r="L36" s="104"/>
      <c r="M36" s="104"/>
      <c r="N36" s="104"/>
      <c r="O36" s="104"/>
      <c r="P36" s="104"/>
      <c r="Q36" s="104"/>
      <c r="R36" s="11"/>
      <c r="S36" s="11"/>
      <c r="T36" s="11"/>
      <c r="U36" s="11"/>
    </row>
    <row r="37" spans="1:21" x14ac:dyDescent="0.3">
      <c r="A37" s="104"/>
      <c r="B37" s="104"/>
      <c r="C37" s="103"/>
      <c r="D37" s="103"/>
      <c r="E37" s="100" t="s">
        <v>25</v>
      </c>
      <c r="F37" s="104">
        <f>(-4.59512-F36)/F38</f>
        <v>0.1875559183673472</v>
      </c>
      <c r="G37" s="104"/>
      <c r="H37" s="104"/>
      <c r="I37" s="100"/>
      <c r="J37" s="104"/>
      <c r="K37" s="104"/>
      <c r="L37" s="104"/>
      <c r="M37" s="104"/>
      <c r="N37" s="104"/>
      <c r="O37" s="104"/>
      <c r="P37" s="104"/>
      <c r="Q37" s="104"/>
      <c r="R37" s="11"/>
      <c r="S37" s="11"/>
      <c r="T37" s="11"/>
      <c r="U37" s="11"/>
    </row>
    <row r="38" spans="1:21" x14ac:dyDescent="0.3">
      <c r="A38" s="104" t="s">
        <v>104</v>
      </c>
      <c r="B38" s="104"/>
      <c r="C38" s="109"/>
      <c r="D38" s="104"/>
      <c r="E38" s="109" t="s">
        <v>26</v>
      </c>
      <c r="F38" s="104">
        <f>'NUR MIT PASSWORT'!$J$20</f>
        <v>1</v>
      </c>
      <c r="G38" s="104"/>
      <c r="H38" s="104"/>
      <c r="I38" s="100"/>
      <c r="J38" s="104"/>
      <c r="K38" s="104"/>
      <c r="L38" s="104"/>
      <c r="M38" s="104"/>
      <c r="N38" s="104"/>
      <c r="O38" s="104"/>
      <c r="P38" s="104"/>
      <c r="Q38" s="104"/>
      <c r="R38" s="11"/>
      <c r="S38" s="11"/>
      <c r="T38" s="11"/>
      <c r="U38" s="11"/>
    </row>
    <row r="39" spans="1:21" x14ac:dyDescent="0.3">
      <c r="A39" s="104" t="s">
        <v>105</v>
      </c>
      <c r="B39" s="104" t="s">
        <v>106</v>
      </c>
      <c r="C39" s="100"/>
      <c r="D39" s="100"/>
      <c r="E39" s="109" t="s">
        <v>27</v>
      </c>
      <c r="F39" s="104">
        <f>'NUR MIT PASSWORT'!$J$21</f>
        <v>50</v>
      </c>
      <c r="G39" s="104"/>
      <c r="H39" s="104"/>
      <c r="I39" s="100"/>
      <c r="J39" s="104"/>
      <c r="K39" s="104"/>
      <c r="L39" s="104"/>
      <c r="M39" s="104"/>
      <c r="N39" s="104"/>
      <c r="O39" s="104"/>
      <c r="P39" s="104"/>
      <c r="Q39" s="104"/>
      <c r="R39" s="11"/>
      <c r="S39" s="11"/>
      <c r="T39" s="11"/>
      <c r="U39" s="11"/>
    </row>
    <row r="40" spans="1:21" x14ac:dyDescent="0.3">
      <c r="A40" s="104" t="s">
        <v>107</v>
      </c>
      <c r="B40" s="104" t="s">
        <v>108</v>
      </c>
      <c r="C40" s="103"/>
      <c r="D40" s="103"/>
      <c r="E40" s="100"/>
      <c r="F40" s="100"/>
      <c r="G40" s="104"/>
      <c r="H40" s="104"/>
      <c r="I40" s="100"/>
      <c r="J40" s="104"/>
      <c r="K40" s="104"/>
      <c r="L40" s="104"/>
      <c r="M40" s="104"/>
      <c r="N40" s="104"/>
      <c r="O40" s="104"/>
      <c r="P40" s="104"/>
      <c r="Q40" s="104"/>
      <c r="R40" s="11"/>
      <c r="S40" s="11"/>
      <c r="T40" s="11"/>
      <c r="U40" s="11"/>
    </row>
    <row r="41" spans="1:21" x14ac:dyDescent="0.3">
      <c r="A41" s="104" t="s">
        <v>109</v>
      </c>
      <c r="B41" s="104">
        <f>((B26-1)/98)*(B36-B35)+B35</f>
        <v>0.99000000148366762</v>
      </c>
      <c r="C41" s="109"/>
      <c r="D41" s="104"/>
      <c r="E41" s="100"/>
      <c r="F41" s="100"/>
      <c r="G41" s="104"/>
      <c r="H41" s="104"/>
      <c r="I41" s="100"/>
      <c r="J41" s="104"/>
      <c r="K41" s="104"/>
      <c r="L41" s="104"/>
      <c r="M41" s="104"/>
      <c r="N41" s="104"/>
      <c r="O41" s="104"/>
      <c r="P41" s="104"/>
      <c r="Q41" s="104"/>
      <c r="R41" s="11"/>
      <c r="S41" s="11"/>
      <c r="T41" s="11"/>
      <c r="U41" s="11"/>
    </row>
    <row r="42" spans="1:21" x14ac:dyDescent="0.3">
      <c r="A42" s="104" t="s">
        <v>110</v>
      </c>
      <c r="B42" s="104"/>
      <c r="C42" s="109"/>
      <c r="D42" s="104"/>
      <c r="E42" s="104"/>
      <c r="F42" s="100"/>
      <c r="G42" s="104"/>
      <c r="H42" s="104"/>
      <c r="I42" s="100"/>
      <c r="J42" s="104"/>
      <c r="K42" s="104"/>
      <c r="L42" s="104"/>
      <c r="M42" s="104"/>
      <c r="N42" s="104"/>
      <c r="O42" s="104"/>
      <c r="P42" s="104"/>
      <c r="Q42" s="104"/>
      <c r="R42" s="11"/>
      <c r="S42" s="11"/>
      <c r="T42" s="11"/>
      <c r="U42" s="11"/>
    </row>
    <row r="43" spans="1:21" x14ac:dyDescent="0.3">
      <c r="A43" s="104" t="s">
        <v>111</v>
      </c>
      <c r="B43" s="104"/>
      <c r="C43" s="110"/>
      <c r="D43" s="104"/>
      <c r="E43" s="104"/>
      <c r="F43" s="104"/>
      <c r="G43" s="104"/>
      <c r="H43" s="104"/>
      <c r="I43" s="100"/>
      <c r="J43" s="104"/>
      <c r="K43" s="104"/>
      <c r="L43" s="104"/>
      <c r="M43" s="104"/>
      <c r="N43" s="104"/>
      <c r="O43" s="104"/>
      <c r="P43" s="104"/>
      <c r="Q43" s="104"/>
      <c r="R43" s="11"/>
      <c r="S43" s="11"/>
      <c r="T43" s="11"/>
      <c r="U43" s="11"/>
    </row>
    <row r="44" spans="1:21" x14ac:dyDescent="0.3">
      <c r="A44" s="104"/>
      <c r="B44" s="104"/>
      <c r="C44" s="104" t="s">
        <v>14</v>
      </c>
      <c r="D44" s="104" t="s">
        <v>15</v>
      </c>
      <c r="E44" s="104" t="s">
        <v>16</v>
      </c>
      <c r="F44" s="104" t="s">
        <v>19</v>
      </c>
      <c r="G44" s="104" t="s">
        <v>37</v>
      </c>
      <c r="H44" s="104" t="s">
        <v>38</v>
      </c>
      <c r="I44" s="100"/>
      <c r="J44" s="104"/>
      <c r="K44" s="104"/>
      <c r="L44" s="104"/>
      <c r="M44" s="104"/>
      <c r="N44" s="104"/>
      <c r="O44" s="104"/>
      <c r="P44" s="104"/>
      <c r="Q44" s="104"/>
      <c r="R44" s="11"/>
      <c r="S44" s="11"/>
      <c r="T44" s="11"/>
      <c r="U44" s="11"/>
    </row>
    <row r="45" spans="1:21" x14ac:dyDescent="0.3">
      <c r="A45" s="100" t="s">
        <v>9</v>
      </c>
      <c r="B45" s="100"/>
      <c r="C45" s="104">
        <f>(B54)</f>
        <v>1</v>
      </c>
      <c r="D45" s="100">
        <f>(EXP(B50+B51*C45))/((EXP(B50+B51*C45))+1)*100</f>
        <v>0.99999985163325522</v>
      </c>
      <c r="E45" s="104">
        <f>(B51*(EXP(B50+B51*C45)))/(((EXP(B50+B51*C45))+1)^2)</f>
        <v>1.8568033191315387E-3</v>
      </c>
      <c r="F45" s="104">
        <f>E45/B57</f>
        <v>3.9599994184023601E-2</v>
      </c>
      <c r="G45" s="104"/>
      <c r="H45" s="104"/>
      <c r="I45" s="100"/>
      <c r="J45" s="104"/>
      <c r="K45" s="104"/>
      <c r="L45" s="104"/>
      <c r="M45" s="104"/>
      <c r="N45" s="104"/>
      <c r="O45" s="104"/>
      <c r="P45" s="104"/>
      <c r="Q45" s="104"/>
      <c r="R45" s="11"/>
      <c r="S45" s="11"/>
      <c r="T45" s="11"/>
      <c r="U45" s="11"/>
    </row>
    <row r="46" spans="1:21" x14ac:dyDescent="0.3">
      <c r="A46" s="100" t="s">
        <v>30</v>
      </c>
      <c r="B46" s="104">
        <f>(-B50/B51)</f>
        <v>25.499999999999964</v>
      </c>
      <c r="C46" s="104">
        <f t="shared" ref="C46:C64" si="18">(C45+1*$C$70)</f>
        <v>3.45</v>
      </c>
      <c r="D46" s="100">
        <f>(EXP(B50+B51*C46))/((EXP(B50+B51*C46))+1)*100</f>
        <v>1.5741190574378086</v>
      </c>
      <c r="E46" s="104">
        <f>(B51*(EXP(B50+B51*C46)))/(((EXP(B50+B51*C46))+1)^2)</f>
        <v>2.9058798960047033E-3</v>
      </c>
      <c r="F46" s="104">
        <f>E46/B57</f>
        <v>6.1973621974716772E-2</v>
      </c>
      <c r="G46" s="104"/>
      <c r="H46" s="104"/>
      <c r="I46" s="100"/>
      <c r="J46" s="104"/>
      <c r="K46" s="104"/>
      <c r="L46" s="104"/>
      <c r="M46" s="104"/>
      <c r="N46" s="104"/>
      <c r="O46" s="104"/>
      <c r="P46" s="104"/>
      <c r="Q46" s="104"/>
      <c r="R46" s="11"/>
      <c r="S46" s="11"/>
      <c r="T46" s="11"/>
      <c r="U46" s="11"/>
    </row>
    <row r="47" spans="1:21" x14ac:dyDescent="0.3">
      <c r="A47" s="100"/>
      <c r="B47" s="104"/>
      <c r="C47" s="104">
        <f t="shared" si="18"/>
        <v>5.9</v>
      </c>
      <c r="D47" s="100">
        <f>(EXP(B50+B51*C47))/((EXP(B50+B51*C47))+1)*100</f>
        <v>2.4696287350623836</v>
      </c>
      <c r="E47" s="104">
        <f>(B51*(EXP(B50+B51*C47)))/(((EXP(B50+B51*C47))+1)^2)</f>
        <v>4.5175432601587406E-3</v>
      </c>
      <c r="F47" s="104">
        <f>E47/B57</f>
        <v>9.6345522966877026E-2</v>
      </c>
      <c r="G47" s="104"/>
      <c r="H47" s="104"/>
      <c r="I47" s="100"/>
      <c r="J47" s="104"/>
      <c r="K47" s="104"/>
      <c r="L47" s="104"/>
      <c r="M47" s="104"/>
      <c r="N47" s="104"/>
      <c r="O47" s="104"/>
      <c r="P47" s="104"/>
      <c r="Q47" s="104"/>
      <c r="R47" s="11"/>
      <c r="S47" s="11"/>
      <c r="T47" s="11"/>
      <c r="U47" s="11"/>
    </row>
    <row r="48" spans="1:21" x14ac:dyDescent="0.3">
      <c r="A48" s="100"/>
      <c r="B48" s="104"/>
      <c r="C48" s="104">
        <f t="shared" si="18"/>
        <v>8.3500000000000014</v>
      </c>
      <c r="D48" s="100">
        <f>(EXP(B50+B51*C48))/((EXP(B50+B51*C48))+1)*100</f>
        <v>3.8546385008978259</v>
      </c>
      <c r="E48" s="104">
        <f>(B51*(EXP(B50+B51*C48)))/(((EXP(B50+B51*C48))+1)^2)</f>
        <v>6.9509275932730305E-3</v>
      </c>
      <c r="F48" s="104">
        <f>E48/B57</f>
        <v>0.14824224484687148</v>
      </c>
      <c r="G48" s="104"/>
      <c r="H48" s="104"/>
      <c r="I48" s="100"/>
      <c r="J48" s="100"/>
      <c r="K48" s="104"/>
      <c r="L48" s="104"/>
      <c r="M48" s="104"/>
      <c r="N48" s="104"/>
      <c r="O48" s="104"/>
      <c r="P48" s="104"/>
      <c r="Q48" s="104"/>
      <c r="R48" s="11"/>
      <c r="S48" s="11"/>
      <c r="T48" s="11"/>
      <c r="U48" s="11"/>
    </row>
    <row r="49" spans="1:21" x14ac:dyDescent="0.3">
      <c r="A49" s="100"/>
      <c r="B49" s="100"/>
      <c r="C49" s="104">
        <f t="shared" si="18"/>
        <v>10.8</v>
      </c>
      <c r="D49" s="100">
        <f>(EXP(B50+B51*C49))/((EXP(B50+B51*C49))+1)*100</f>
        <v>5.9688490532718168</v>
      </c>
      <c r="E49" s="104">
        <f>(B51*(EXP(B50+B51*C49)))/(((EXP(B50+B51*C49))+1)^2)</f>
        <v>1.0526721204929149E-2</v>
      </c>
      <c r="F49" s="104">
        <f>E49/B57</f>
        <v>0.22450309852257508</v>
      </c>
      <c r="G49" s="104"/>
      <c r="H49" s="104"/>
      <c r="I49" s="100"/>
      <c r="J49" s="100"/>
      <c r="K49" s="104"/>
      <c r="L49" s="104"/>
      <c r="M49" s="104"/>
      <c r="N49" s="104"/>
      <c r="O49" s="104"/>
      <c r="P49" s="104"/>
      <c r="Q49" s="104"/>
      <c r="R49" s="11"/>
      <c r="S49" s="11"/>
      <c r="T49" s="11"/>
      <c r="U49" s="11"/>
    </row>
    <row r="50" spans="1:21" x14ac:dyDescent="0.3">
      <c r="A50" s="100" t="s">
        <v>10</v>
      </c>
      <c r="B50" s="104">
        <f>$F$36</f>
        <v>-4.7826759183673468</v>
      </c>
      <c r="C50" s="104">
        <f t="shared" si="18"/>
        <v>13.25</v>
      </c>
      <c r="D50" s="100">
        <f>(EXP(B50+B51*C50))/((EXP(B50+B51*C50))+1)*100</f>
        <v>9.1325242466062875</v>
      </c>
      <c r="E50" s="104">
        <f>(B51*(EXP(B50+B51*C50)))/(((EXP(B50+B51*C50))+1)^2)</f>
        <v>1.5564317111485371E-2</v>
      </c>
      <c r="F50" s="104">
        <f>E50/B57</f>
        <v>0.33193977021831078</v>
      </c>
      <c r="G50" s="104"/>
      <c r="H50" s="104"/>
      <c r="I50" s="100"/>
      <c r="J50" s="100"/>
      <c r="K50" s="104"/>
      <c r="L50" s="104"/>
      <c r="M50" s="104"/>
      <c r="N50" s="104"/>
      <c r="O50" s="104"/>
      <c r="P50" s="104"/>
      <c r="Q50" s="104"/>
      <c r="R50" s="11"/>
      <c r="S50" s="11"/>
      <c r="T50" s="11"/>
      <c r="U50" s="11"/>
    </row>
    <row r="51" spans="1:21" x14ac:dyDescent="0.3">
      <c r="A51" s="100" t="s">
        <v>11</v>
      </c>
      <c r="B51" s="104">
        <f>$F$37</f>
        <v>0.1875559183673472</v>
      </c>
      <c r="C51" s="104">
        <f t="shared" si="18"/>
        <v>15.7</v>
      </c>
      <c r="D51" s="100">
        <f>(EXP(B50+B51*C51))/((EXP(B50+B51*C51))+1)*100</f>
        <v>13.7282315772707</v>
      </c>
      <c r="E51" s="104">
        <f>(B51*(EXP(B50+B51*C51)))/(((EXP(B50+B51*C51))+1)^2)</f>
        <v>2.2213350531529612E-2</v>
      </c>
      <c r="F51" s="104">
        <f>E51/B57</f>
        <v>0.47374352619515897</v>
      </c>
      <c r="G51" s="104"/>
      <c r="H51" s="104"/>
      <c r="I51" s="100"/>
      <c r="J51" s="104"/>
      <c r="K51" s="100"/>
      <c r="L51" s="104"/>
      <c r="M51" s="104"/>
      <c r="N51" s="104"/>
      <c r="O51" s="104"/>
      <c r="P51" s="104"/>
      <c r="Q51" s="104"/>
      <c r="R51" s="11"/>
      <c r="S51" s="11"/>
      <c r="T51" s="11"/>
      <c r="U51" s="11"/>
    </row>
    <row r="52" spans="1:21" x14ac:dyDescent="0.3">
      <c r="A52" s="100" t="s">
        <v>12</v>
      </c>
      <c r="B52" s="104"/>
      <c r="C52" s="104">
        <f t="shared" si="18"/>
        <v>18.149999999999999</v>
      </c>
      <c r="D52" s="100">
        <f>(EXP(B50+B51*C52))/((EXP(B50+B51*C52))+1)*100</f>
        <v>20.124422748797713</v>
      </c>
      <c r="E52" s="104">
        <f>(B51*(EXP(B50+B51*C52)))/(((EXP(B50+B51*C52))+1)^2)</f>
        <v>3.0148673920574631E-2</v>
      </c>
      <c r="F52" s="104">
        <f>E52/B57</f>
        <v>0.64297995356297766</v>
      </c>
      <c r="G52" s="104"/>
      <c r="H52" s="104"/>
      <c r="I52" s="100"/>
      <c r="J52" s="104"/>
      <c r="K52" s="100"/>
      <c r="L52" s="104"/>
      <c r="M52" s="104"/>
      <c r="N52" s="104"/>
      <c r="O52" s="104"/>
      <c r="P52" s="104"/>
      <c r="Q52" s="104"/>
      <c r="R52" s="11"/>
      <c r="S52" s="11"/>
      <c r="T52" s="11"/>
      <c r="U52" s="11"/>
    </row>
    <row r="53" spans="1:21" x14ac:dyDescent="0.3">
      <c r="A53" s="100"/>
      <c r="B53" s="100"/>
      <c r="C53" s="104">
        <f t="shared" si="18"/>
        <v>20.599999999999998</v>
      </c>
      <c r="D53" s="100">
        <f>(EXP(B50+B51*C53))/((EXP(B50+B51*C53))+1)*100</f>
        <v>28.515680275769583</v>
      </c>
      <c r="E53" s="104">
        <f>(B51*(EXP(B50+B51*C53)))/(((EXP(B50+B51*C53))+1)^2)</f>
        <v>3.8231848646494683E-2</v>
      </c>
      <c r="F53" s="104">
        <f>E53/B57</f>
        <v>0.81536960239481748</v>
      </c>
      <c r="G53" s="104"/>
      <c r="H53" s="104"/>
      <c r="I53" s="100"/>
      <c r="J53" s="104"/>
      <c r="K53" s="100"/>
      <c r="L53" s="104"/>
      <c r="M53" s="103"/>
      <c r="N53" s="104"/>
      <c r="O53" s="104"/>
      <c r="P53" s="104"/>
      <c r="Q53" s="104"/>
      <c r="R53" s="11"/>
      <c r="S53" s="11"/>
      <c r="T53" s="11"/>
      <c r="U53" s="11"/>
    </row>
    <row r="54" spans="1:21" x14ac:dyDescent="0.3">
      <c r="A54" s="100" t="s">
        <v>28</v>
      </c>
      <c r="B54" s="104">
        <f>$F$38</f>
        <v>1</v>
      </c>
      <c r="C54" s="104">
        <f t="shared" si="18"/>
        <v>23.049999999999997</v>
      </c>
      <c r="D54" s="100">
        <f>(EXP(B50+B51*C54))/((EXP(B50+B51*C54))+1)*100</f>
        <v>38.710159740782949</v>
      </c>
      <c r="E54" s="104">
        <f>(B51*(EXP(B50+B51*C54)))/(((EXP(B50+B51*C54))+1)^2)</f>
        <v>4.4498382608344905E-2</v>
      </c>
      <c r="F54" s="104">
        <f>E54/B57</f>
        <v>0.94901580276854458</v>
      </c>
      <c r="G54" s="104"/>
      <c r="H54" s="104"/>
      <c r="I54" s="100"/>
      <c r="J54" s="104"/>
      <c r="K54" s="100"/>
      <c r="L54" s="104"/>
      <c r="M54" s="104"/>
      <c r="N54" s="104"/>
      <c r="O54" s="104"/>
      <c r="P54" s="104"/>
      <c r="Q54" s="104"/>
      <c r="R54" s="11"/>
      <c r="S54" s="11"/>
      <c r="T54" s="11"/>
      <c r="U54" s="11"/>
    </row>
    <row r="55" spans="1:21" x14ac:dyDescent="0.3">
      <c r="A55" s="100" t="s">
        <v>29</v>
      </c>
      <c r="B55" s="104">
        <f>$F$39</f>
        <v>50</v>
      </c>
      <c r="C55" s="104">
        <f t="shared" si="18"/>
        <v>25.499999999999996</v>
      </c>
      <c r="D55" s="100">
        <f>(EXP(B50+B51*C55))/((EXP(B50+B51*C55))+1)*100</f>
        <v>50.000000000000156</v>
      </c>
      <c r="E55" s="104">
        <f>(B51*(EXP(B50+B51*C55)))/(((EXP(B50+B51*C55))+1)^2)</f>
        <v>4.6888979591836799E-2</v>
      </c>
      <c r="F55" s="104">
        <f>E55/B57</f>
        <v>1</v>
      </c>
      <c r="G55" s="104"/>
      <c r="H55" s="104"/>
      <c r="I55" s="100"/>
      <c r="J55" s="104"/>
      <c r="K55" s="100"/>
      <c r="L55" s="104"/>
      <c r="M55" s="104"/>
      <c r="N55" s="104"/>
      <c r="O55" s="104"/>
      <c r="P55" s="104"/>
      <c r="Q55" s="104"/>
      <c r="R55" s="11"/>
      <c r="S55" s="11"/>
      <c r="T55" s="11"/>
      <c r="U55" s="11"/>
    </row>
    <row r="56" spans="1:21" x14ac:dyDescent="0.3">
      <c r="A56" s="100" t="s">
        <v>13</v>
      </c>
      <c r="B56" s="104">
        <f>((LN((0.5/(1-0.5))))-B50)/B51</f>
        <v>25.499999999999964</v>
      </c>
      <c r="C56" s="104">
        <f t="shared" si="18"/>
        <v>27.949999999999996</v>
      </c>
      <c r="D56" s="100">
        <f>(EXP(B50+B51*C56))/((EXP(B50+B51*C56))+1)*100</f>
        <v>61.289840259217321</v>
      </c>
      <c r="E56" s="104">
        <f>(B51*(EXP(B50+B51*C56)))/(((EXP(B50+B51*C56))+1)^2)</f>
        <v>4.4498382608344787E-2</v>
      </c>
      <c r="F56" s="104">
        <f>E56/B57</f>
        <v>0.94901580276854214</v>
      </c>
      <c r="G56" s="104"/>
      <c r="H56" s="104"/>
      <c r="I56" s="100"/>
      <c r="J56" s="104"/>
      <c r="K56" s="100"/>
      <c r="L56" s="104"/>
      <c r="M56" s="104"/>
      <c r="N56" s="104"/>
      <c r="O56" s="104"/>
      <c r="P56" s="104"/>
      <c r="Q56" s="104"/>
      <c r="R56" s="11"/>
      <c r="S56" s="11"/>
      <c r="T56" s="11"/>
      <c r="U56" s="11"/>
    </row>
    <row r="57" spans="1:21" x14ac:dyDescent="0.3">
      <c r="A57" s="100" t="s">
        <v>17</v>
      </c>
      <c r="B57" s="104">
        <f>(B51*(EXP(B50+B51*B56)))/(((EXP(B50+B51*B56))+1)^2)</f>
        <v>4.6888979591836799E-2</v>
      </c>
      <c r="C57" s="104">
        <f t="shared" si="18"/>
        <v>30.399999999999995</v>
      </c>
      <c r="D57" s="100">
        <f>(EXP(B50+B51*C57))/((EXP(B50+B51*C57))+1)*100</f>
        <v>71.484319724230659</v>
      </c>
      <c r="E57" s="104">
        <f>(B51*(EXP(B50+B51*C57)))/(((EXP(B50+B51*C57))+1)^2)</f>
        <v>3.8231848646494482E-2</v>
      </c>
      <c r="F57" s="104">
        <f>E57/B57</f>
        <v>0.81536960239481315</v>
      </c>
      <c r="G57" s="104"/>
      <c r="H57" s="104"/>
      <c r="I57" s="100"/>
      <c r="J57" s="104"/>
      <c r="K57" s="100"/>
      <c r="L57" s="104"/>
      <c r="M57" s="104"/>
      <c r="N57" s="104"/>
      <c r="O57" s="104"/>
      <c r="P57" s="104"/>
      <c r="Q57" s="104"/>
      <c r="R57" s="11"/>
      <c r="S57" s="11"/>
      <c r="T57" s="11"/>
      <c r="U57" s="11"/>
    </row>
    <row r="58" spans="1:21" x14ac:dyDescent="0.3">
      <c r="A58" s="100"/>
      <c r="B58" s="100"/>
      <c r="C58" s="104">
        <f t="shared" si="18"/>
        <v>32.849999999999994</v>
      </c>
      <c r="D58" s="100">
        <f>(EXP(B50+B51*C58))/((EXP(B50+B51*C58))+1)*100</f>
        <v>79.875577251202472</v>
      </c>
      <c r="E58" s="104">
        <f>(B51*(EXP(B50+B51*C58)))/(((EXP(B50+B51*C58))+1)^2)</f>
        <v>3.0148673920574427E-2</v>
      </c>
      <c r="F58" s="104">
        <f>E58/B57</f>
        <v>0.64297995356297333</v>
      </c>
      <c r="G58" s="104"/>
      <c r="H58" s="104"/>
      <c r="I58" s="100"/>
      <c r="J58" s="104"/>
      <c r="K58" s="100"/>
      <c r="L58" s="104"/>
      <c r="M58" s="104"/>
      <c r="N58" s="104"/>
      <c r="O58" s="104"/>
      <c r="P58" s="104"/>
      <c r="Q58" s="104"/>
      <c r="R58" s="11"/>
      <c r="S58" s="11"/>
      <c r="T58" s="11"/>
      <c r="U58" s="11"/>
    </row>
    <row r="59" spans="1:21" x14ac:dyDescent="0.3">
      <c r="A59" s="100"/>
      <c r="B59" s="100"/>
      <c r="C59" s="104">
        <f t="shared" si="18"/>
        <v>35.299999999999997</v>
      </c>
      <c r="D59" s="100">
        <f>(EXP(B50+B51*C59))/((EXP(B50+B51*C59))+1)*100</f>
        <v>86.271768422729451</v>
      </c>
      <c r="E59" s="104">
        <f>(B51*(EXP(B50+B51*C59)))/(((EXP(B50+B51*C59))+1)^2)</f>
        <v>2.2213350531529411E-2</v>
      </c>
      <c r="F59" s="104">
        <f>E59/B57</f>
        <v>0.4737435261951547</v>
      </c>
      <c r="G59" s="100"/>
      <c r="H59" s="100"/>
      <c r="I59" s="100"/>
      <c r="J59" s="104"/>
      <c r="K59" s="100"/>
      <c r="L59" s="104"/>
      <c r="M59" s="104"/>
      <c r="N59" s="104"/>
      <c r="O59" s="104"/>
      <c r="P59" s="104"/>
      <c r="Q59" s="104"/>
      <c r="R59" s="11"/>
      <c r="S59" s="11"/>
      <c r="T59" s="11"/>
      <c r="U59" s="11"/>
    </row>
    <row r="60" spans="1:21" x14ac:dyDescent="0.3">
      <c r="A60" s="100"/>
      <c r="B60" s="100"/>
      <c r="C60" s="104">
        <f t="shared" si="18"/>
        <v>37.75</v>
      </c>
      <c r="D60" s="100">
        <f>(EXP(B50+B51*C60))/((EXP(B50+B51*C60))+1)*100</f>
        <v>90.867475753393819</v>
      </c>
      <c r="E60" s="104">
        <f>(B51*(EXP(B50+B51*C60)))/(((EXP(B50+B51*C60))+1)^2)</f>
        <v>1.5564317111485201E-2</v>
      </c>
      <c r="F60" s="104">
        <f>E60/B57</f>
        <v>0.33193977021830717</v>
      </c>
      <c r="G60" s="100"/>
      <c r="H60" s="100"/>
      <c r="I60" s="111"/>
      <c r="J60" s="104"/>
      <c r="K60" s="100"/>
      <c r="L60" s="104"/>
      <c r="M60" s="104"/>
      <c r="N60" s="104"/>
      <c r="O60" s="104"/>
      <c r="P60" s="104"/>
      <c r="Q60" s="104"/>
      <c r="R60" s="11"/>
      <c r="S60" s="11"/>
      <c r="T60" s="11"/>
      <c r="U60" s="11"/>
    </row>
    <row r="61" spans="1:21" x14ac:dyDescent="0.3">
      <c r="A61" s="100"/>
      <c r="B61" s="100"/>
      <c r="C61" s="104">
        <f t="shared" si="18"/>
        <v>40.200000000000003</v>
      </c>
      <c r="D61" s="100">
        <f>(EXP(B50+B51*C61))/((EXP(B50+B51*C61))+1)*100</f>
        <v>94.03115094672826</v>
      </c>
      <c r="E61" s="104">
        <f>(B51*(EXP(B50+B51*C61)))/(((EXP(B50+B51*C61))+1)^2)</f>
        <v>1.0526721204929023E-2</v>
      </c>
      <c r="F61" s="104">
        <f>E61/B57</f>
        <v>0.22450309852257239</v>
      </c>
      <c r="G61" s="100"/>
      <c r="H61" s="100"/>
      <c r="I61" s="100"/>
      <c r="J61" s="104"/>
      <c r="K61" s="100"/>
      <c r="L61" s="104"/>
      <c r="M61" s="104"/>
      <c r="N61" s="104"/>
      <c r="O61" s="104"/>
      <c r="P61" s="104"/>
      <c r="Q61" s="104"/>
      <c r="R61" s="11"/>
      <c r="S61" s="11"/>
      <c r="T61" s="11"/>
      <c r="U61" s="11"/>
    </row>
    <row r="62" spans="1:21" x14ac:dyDescent="0.3">
      <c r="A62" s="100"/>
      <c r="B62" s="100"/>
      <c r="C62" s="104">
        <f t="shared" si="18"/>
        <v>42.650000000000006</v>
      </c>
      <c r="D62" s="100">
        <f>(EXP(B50+B51*C62))/((EXP(B50+B51*C62))+1)*100</f>
        <v>96.145361499102236</v>
      </c>
      <c r="E62" s="104">
        <f>(B51*(EXP(B50+B51*C62)))/(((EXP(B50+B51*C62))+1)^2)</f>
        <v>6.950927593272936E-3</v>
      </c>
      <c r="F62" s="104">
        <f>E62/B57</f>
        <v>0.14824224484686946</v>
      </c>
      <c r="G62" s="100"/>
      <c r="H62" s="100"/>
      <c r="I62" s="100"/>
      <c r="J62" s="104"/>
      <c r="K62" s="100"/>
      <c r="L62" s="104"/>
      <c r="M62" s="104"/>
      <c r="N62" s="104"/>
      <c r="O62" s="104"/>
      <c r="P62" s="104"/>
      <c r="Q62" s="104"/>
      <c r="R62" s="11"/>
      <c r="S62" s="11"/>
      <c r="T62" s="11"/>
      <c r="U62" s="11"/>
    </row>
    <row r="63" spans="1:21" x14ac:dyDescent="0.3">
      <c r="A63" s="100"/>
      <c r="B63" s="100"/>
      <c r="C63" s="104">
        <f t="shared" si="18"/>
        <v>45.100000000000009</v>
      </c>
      <c r="D63" s="100">
        <f>(EXP(B50+B51*C63))/((EXP(B50+B51*C63))+1)*100</f>
        <v>97.530371264937656</v>
      </c>
      <c r="E63" s="104">
        <f>(B51*(EXP(B50+B51*C63)))/(((EXP(B50+B51*C63))+1)^2)</f>
        <v>4.5175432601586782E-3</v>
      </c>
      <c r="F63" s="104">
        <f>E63/B57</f>
        <v>9.6345522966875694E-2</v>
      </c>
      <c r="G63" s="100"/>
      <c r="H63" s="100"/>
      <c r="I63" s="100"/>
      <c r="J63" s="104"/>
      <c r="K63" s="100"/>
      <c r="L63" s="104"/>
      <c r="M63" s="104"/>
      <c r="N63" s="104"/>
      <c r="O63" s="104"/>
      <c r="P63" s="104"/>
      <c r="Q63" s="104"/>
      <c r="R63" s="11"/>
      <c r="S63" s="11"/>
      <c r="T63" s="11"/>
      <c r="U63" s="11"/>
    </row>
    <row r="64" spans="1:21" x14ac:dyDescent="0.3">
      <c r="A64" s="100"/>
      <c r="B64" s="100"/>
      <c r="C64" s="104">
        <f t="shared" si="18"/>
        <v>47.550000000000011</v>
      </c>
      <c r="D64" s="100">
        <f>(EXP(B50+B51*C64))/((EXP(B50+B51*C64))+1)*100</f>
        <v>98.425880942562216</v>
      </c>
      <c r="E64" s="104">
        <f>(B51*(EXP(B50+B51*C64)))/(((EXP(B50+B51*C64))+1)^2)</f>
        <v>2.9058798960046586E-3</v>
      </c>
      <c r="F64" s="104">
        <f>E64/B57</f>
        <v>6.1973621974715822E-2</v>
      </c>
      <c r="G64" s="100"/>
      <c r="H64" s="100"/>
      <c r="I64" s="100"/>
      <c r="J64" s="104"/>
      <c r="K64" s="100"/>
      <c r="L64" s="104"/>
      <c r="M64" s="104"/>
      <c r="N64" s="104"/>
      <c r="O64" s="104"/>
      <c r="P64" s="104"/>
      <c r="Q64" s="104"/>
      <c r="R64" s="11"/>
      <c r="S64" s="11"/>
      <c r="T64" s="11"/>
      <c r="U64" s="11"/>
    </row>
    <row r="65" spans="1:22" x14ac:dyDescent="0.3">
      <c r="A65" s="100"/>
      <c r="B65" s="100"/>
      <c r="C65" s="104">
        <f>(B55)</f>
        <v>50</v>
      </c>
      <c r="D65" s="100">
        <f>(EXP(B50+B51*C65))/((EXP(B50+B51*C65))+1)*100</f>
        <v>99.000000148366766</v>
      </c>
      <c r="E65" s="104">
        <f>(B51*(EXP(B50+B51*C65)))/(((EXP(B50+B51*C65))+1)^2)</f>
        <v>1.8568033191315139E-3</v>
      </c>
      <c r="F65" s="104">
        <f>E65/B57</f>
        <v>3.9599994184023074E-2</v>
      </c>
      <c r="G65" s="100"/>
      <c r="H65" s="100"/>
      <c r="I65" s="100"/>
      <c r="J65" s="104"/>
      <c r="K65" s="100"/>
      <c r="L65" s="104"/>
      <c r="M65" s="104"/>
      <c r="N65" s="104"/>
      <c r="O65" s="104"/>
      <c r="P65" s="104"/>
      <c r="Q65" s="104"/>
      <c r="R65" s="11"/>
      <c r="S65" s="11"/>
      <c r="T65" s="11"/>
      <c r="U65" s="11"/>
    </row>
    <row r="66" spans="1:22" ht="21" x14ac:dyDescent="0.4">
      <c r="A66" s="112"/>
      <c r="B66" s="100" t="s">
        <v>35</v>
      </c>
      <c r="C66" s="104">
        <f>'NUR MIT PASSWORT'!$J$22</f>
        <v>1</v>
      </c>
      <c r="D66" s="100"/>
      <c r="E66" s="100"/>
      <c r="F66" s="100"/>
      <c r="G66" s="104">
        <v>0</v>
      </c>
      <c r="H66" s="100"/>
      <c r="I66" s="100"/>
      <c r="J66" s="104"/>
      <c r="K66" s="100"/>
      <c r="L66" s="104"/>
      <c r="M66" s="104"/>
      <c r="N66" s="104"/>
      <c r="O66" s="104"/>
      <c r="P66" s="104"/>
      <c r="Q66" s="104"/>
      <c r="R66" s="11"/>
      <c r="S66" s="11"/>
      <c r="T66" s="11"/>
      <c r="U66" s="11"/>
    </row>
    <row r="67" spans="1:22" x14ac:dyDescent="0.3">
      <c r="A67" s="100"/>
      <c r="B67" s="100" t="s">
        <v>35</v>
      </c>
      <c r="C67" s="104">
        <f>'NUR MIT PASSWORT'!$J$22</f>
        <v>1</v>
      </c>
      <c r="D67" s="100"/>
      <c r="E67" s="100"/>
      <c r="F67" s="100"/>
      <c r="G67" s="104">
        <v>99</v>
      </c>
      <c r="H67" s="104"/>
      <c r="I67" s="100"/>
      <c r="J67" s="104"/>
      <c r="K67" s="100"/>
      <c r="L67" s="104"/>
      <c r="M67" s="104"/>
      <c r="N67" s="104"/>
      <c r="O67" s="104"/>
      <c r="P67" s="104"/>
      <c r="Q67" s="104"/>
      <c r="R67" s="11"/>
      <c r="S67" s="11"/>
      <c r="T67" s="11"/>
      <c r="U67" s="11"/>
    </row>
    <row r="68" spans="1:22" x14ac:dyDescent="0.3">
      <c r="A68" s="104"/>
      <c r="B68" s="100" t="s">
        <v>36</v>
      </c>
      <c r="C68" s="104">
        <f>'NUR MIT PASSWORT'!$J$23</f>
        <v>50</v>
      </c>
      <c r="D68" s="107"/>
      <c r="E68" s="104"/>
      <c r="F68" s="104"/>
      <c r="G68" s="104"/>
      <c r="H68" s="104">
        <v>0</v>
      </c>
      <c r="I68" s="104"/>
      <c r="J68" s="104"/>
      <c r="K68" s="100"/>
      <c r="L68" s="104"/>
      <c r="M68" s="104"/>
      <c r="N68" s="104"/>
      <c r="O68" s="104"/>
      <c r="P68" s="104"/>
      <c r="Q68" s="104"/>
      <c r="R68" s="11"/>
      <c r="S68" s="11"/>
      <c r="T68" s="11"/>
      <c r="U68" s="11"/>
    </row>
    <row r="69" spans="1:22" x14ac:dyDescent="0.3">
      <c r="A69" s="104"/>
      <c r="B69" s="100" t="s">
        <v>36</v>
      </c>
      <c r="C69" s="104">
        <f>'NUR MIT PASSWORT'!$J$23</f>
        <v>50</v>
      </c>
      <c r="D69" s="104"/>
      <c r="E69" s="104"/>
      <c r="F69" s="104"/>
      <c r="G69" s="104"/>
      <c r="H69" s="104">
        <v>99</v>
      </c>
      <c r="I69" s="104"/>
      <c r="J69" s="104"/>
      <c r="K69" s="100"/>
      <c r="L69" s="104"/>
      <c r="M69" s="104"/>
      <c r="N69" s="104"/>
      <c r="O69" s="104"/>
      <c r="P69" s="104"/>
      <c r="Q69" s="104"/>
      <c r="R69" s="11"/>
      <c r="S69" s="11"/>
      <c r="T69" s="11"/>
      <c r="U69" s="11"/>
    </row>
    <row r="70" spans="1:22" x14ac:dyDescent="0.3">
      <c r="A70" s="104"/>
      <c r="B70" s="104"/>
      <c r="C70" s="104">
        <f>(C65-C45)/20</f>
        <v>2.4500000000000002</v>
      </c>
      <c r="D70" s="104"/>
      <c r="E70" s="104"/>
      <c r="F70" s="104"/>
      <c r="G70" s="104"/>
      <c r="H70" s="104"/>
      <c r="I70" s="104"/>
      <c r="J70" s="104"/>
      <c r="K70" s="100"/>
      <c r="L70" s="104"/>
      <c r="M70" s="104"/>
      <c r="N70" s="104"/>
      <c r="O70" s="104"/>
      <c r="P70" s="104"/>
      <c r="Q70" s="104"/>
      <c r="R70" s="11"/>
      <c r="S70" s="11"/>
      <c r="T70" s="11"/>
      <c r="U70" s="11"/>
    </row>
    <row r="71" spans="1:22" x14ac:dyDescent="0.3">
      <c r="A71" s="104"/>
      <c r="B71" s="104"/>
      <c r="C71" s="104"/>
      <c r="D71" s="100"/>
      <c r="E71" s="104"/>
      <c r="F71" s="104"/>
      <c r="G71" s="104"/>
      <c r="H71" s="104"/>
      <c r="I71" s="104"/>
      <c r="J71" s="104"/>
      <c r="K71" s="100"/>
      <c r="L71" s="104"/>
      <c r="M71" s="104"/>
      <c r="N71" s="104"/>
      <c r="O71" s="104"/>
      <c r="P71" s="104"/>
      <c r="Q71" s="104"/>
      <c r="R71" s="11"/>
      <c r="S71" s="11"/>
      <c r="T71" s="11"/>
      <c r="U71" s="11"/>
    </row>
    <row r="72" spans="1:22" x14ac:dyDescent="0.3">
      <c r="A72" s="104"/>
      <c r="B72" s="104"/>
      <c r="C72" s="104"/>
      <c r="D72" s="100"/>
      <c r="E72" s="146" t="s">
        <v>82</v>
      </c>
      <c r="F72" s="147"/>
      <c r="G72" s="147"/>
      <c r="H72" s="147"/>
      <c r="I72" s="146" t="s">
        <v>83</v>
      </c>
      <c r="J72" s="147"/>
      <c r="K72" s="100"/>
      <c r="L72" s="104"/>
      <c r="M72" s="147"/>
      <c r="N72" s="147"/>
      <c r="O72" s="147"/>
      <c r="P72" s="147"/>
      <c r="Q72" s="147"/>
      <c r="R72" s="148"/>
      <c r="S72" s="149"/>
      <c r="T72" s="149"/>
      <c r="U72" s="149"/>
      <c r="V72" s="149"/>
    </row>
    <row r="73" spans="1:22" x14ac:dyDescent="0.3">
      <c r="A73" s="103" t="s">
        <v>127</v>
      </c>
      <c r="B73" s="104" t="s">
        <v>70</v>
      </c>
      <c r="C73" s="103" t="s">
        <v>128</v>
      </c>
      <c r="D73" s="103" t="s">
        <v>129</v>
      </c>
      <c r="E73" s="104"/>
      <c r="F73" s="103" t="s">
        <v>80</v>
      </c>
      <c r="G73" s="103" t="s">
        <v>81</v>
      </c>
      <c r="H73" s="104"/>
      <c r="I73" s="104" t="s">
        <v>79</v>
      </c>
      <c r="J73" s="104"/>
      <c r="K73" s="100"/>
      <c r="L73" s="104"/>
      <c r="M73" s="104"/>
      <c r="N73" s="104"/>
      <c r="O73" s="104"/>
      <c r="P73" s="104"/>
      <c r="Q73" s="104"/>
      <c r="R73" s="11"/>
      <c r="S73" s="11"/>
      <c r="T73" s="11"/>
      <c r="U73" s="11"/>
      <c r="V73" s="11"/>
    </row>
    <row r="74" spans="1:22" x14ac:dyDescent="0.3">
      <c r="A74" s="104">
        <f ca="1">IF(C74=0,"",RAND()*(99-1)+1)</f>
        <v>19.796261521170663</v>
      </c>
      <c r="B74" s="104">
        <f ca="1">IF(A74="","",SMALL(A74:A173,1))</f>
        <v>4.0240211055532891</v>
      </c>
      <c r="C74" s="103">
        <f>'FALL 3'!C74</f>
        <v>1</v>
      </c>
      <c r="D74" s="104">
        <f ca="1">IF(C74=0,"",(B74*0.01*(K77-K78)+K78))</f>
        <v>4.9435405470160978</v>
      </c>
      <c r="E74" s="104"/>
      <c r="F74" s="104">
        <f ca="1">IF(D74="","",((LN(D74/(100-D74)))-B50)/B51)</f>
        <v>9.7372916491971786</v>
      </c>
      <c r="G74" s="104">
        <f t="shared" ref="G74:G105" ca="1" si="19">D74</f>
        <v>4.9435405470160978</v>
      </c>
      <c r="H74" s="103" t="str">
        <f ca="1">IF(I176=C74,I74,"")</f>
        <v/>
      </c>
      <c r="I74" s="104">
        <f ca="1">IF(F74="","",ROUND(F74,1))</f>
        <v>9.6999999999999993</v>
      </c>
      <c r="J74" s="103" t="s">
        <v>74</v>
      </c>
      <c r="K74" s="102">
        <f>'NUR MIT PASSWORT'!$J$23</f>
        <v>50</v>
      </c>
      <c r="L74" s="104"/>
      <c r="M74" s="104"/>
      <c r="N74" s="104"/>
      <c r="O74" s="104"/>
      <c r="P74" s="104"/>
      <c r="Q74" s="104"/>
      <c r="R74" s="11"/>
      <c r="S74" s="11"/>
      <c r="T74" s="11"/>
      <c r="U74" s="11"/>
      <c r="V74" s="11"/>
    </row>
    <row r="75" spans="1:22" x14ac:dyDescent="0.3">
      <c r="A75" s="104">
        <f t="shared" ref="A75:A138" ca="1" si="20">IF(C75=0,"",RAND()*(99-1)+1)</f>
        <v>18.971744052733946</v>
      </c>
      <c r="B75" s="104">
        <f ca="1">IF(A75="","",SMALL(A74:A173,2))</f>
        <v>4.108754697628954</v>
      </c>
      <c r="C75" s="104">
        <f>'FALL 3'!C75</f>
        <v>2</v>
      </c>
      <c r="D75" s="104">
        <f ca="1">IF(C75=0,"",(B75*0.01*(K77-K78)+K78))</f>
        <v>5.0265794675016826</v>
      </c>
      <c r="E75" s="104"/>
      <c r="F75" s="104">
        <f ca="1">IF(D75="","",((LN(D75/(100-D75)))-B50)/B51)</f>
        <v>9.8307672308052343</v>
      </c>
      <c r="G75" s="104">
        <f t="shared" ca="1" si="19"/>
        <v>5.0265794675016826</v>
      </c>
      <c r="H75" s="103" t="str">
        <f ca="1">IF(I176=C75,I75,"")</f>
        <v/>
      </c>
      <c r="I75" s="104">
        <f t="shared" ref="I75:I138" ca="1" si="21">IF(F75="","",ROUND(F75,1))</f>
        <v>9.8000000000000007</v>
      </c>
      <c r="J75" s="103" t="s">
        <v>75</v>
      </c>
      <c r="K75" s="102">
        <f>'NUR MIT PASSWORT'!$J$22</f>
        <v>1</v>
      </c>
      <c r="L75" s="104"/>
      <c r="M75" s="104"/>
      <c r="N75" s="104"/>
      <c r="O75" s="104"/>
      <c r="P75" s="104"/>
      <c r="Q75" s="104"/>
      <c r="R75" s="11"/>
      <c r="S75" s="11"/>
      <c r="T75" s="11"/>
      <c r="U75" s="11"/>
      <c r="V75" s="11"/>
    </row>
    <row r="76" spans="1:22" x14ac:dyDescent="0.3">
      <c r="A76" s="104">
        <f t="shared" ca="1" si="20"/>
        <v>70.838528356428796</v>
      </c>
      <c r="B76" s="104">
        <f ca="1">IF(A76="","",SMALL(A74:A173,3))</f>
        <v>4.1152642037168237</v>
      </c>
      <c r="C76" s="104">
        <f>'FALL 3'!C76</f>
        <v>3</v>
      </c>
      <c r="D76" s="104">
        <f ca="1">IF(C76=0,"",(B76*0.01*(K77-K78)+K78))</f>
        <v>5.0329587834871106</v>
      </c>
      <c r="E76" s="104"/>
      <c r="F76" s="104">
        <f ca="1">IF(D76="","",((LN(D76/(100-D76)))-B50)/B51)</f>
        <v>9.8378876875472017</v>
      </c>
      <c r="G76" s="104">
        <f t="shared" ca="1" si="19"/>
        <v>5.0329587834871106</v>
      </c>
      <c r="H76" s="103" t="str">
        <f ca="1">IF(I176=C76,I76,"")</f>
        <v/>
      </c>
      <c r="I76" s="104">
        <f t="shared" ca="1" si="21"/>
        <v>9.8000000000000007</v>
      </c>
      <c r="J76" s="104"/>
      <c r="K76" s="100"/>
      <c r="L76" s="104"/>
      <c r="M76" s="104"/>
      <c r="N76" s="104"/>
      <c r="O76" s="104"/>
      <c r="P76" s="104"/>
      <c r="Q76" s="104"/>
      <c r="R76" s="11"/>
      <c r="S76" s="11"/>
      <c r="T76" s="11"/>
      <c r="U76" s="11"/>
      <c r="V76" s="11"/>
    </row>
    <row r="77" spans="1:22" x14ac:dyDescent="0.3">
      <c r="A77" s="104">
        <f t="shared" ca="1" si="20"/>
        <v>61.583617321348065</v>
      </c>
      <c r="B77" s="104">
        <f ca="1">IF(A77="","",SMALL(A74:A173,4))</f>
        <v>6.2416570711585084</v>
      </c>
      <c r="C77" s="104">
        <f>'FALL 3'!C77</f>
        <v>4</v>
      </c>
      <c r="D77" s="104">
        <f ca="1">IF(C77=0,"",(B77*0.01*(K77-K78)+K78))</f>
        <v>7.1168237998896826</v>
      </c>
      <c r="E77" s="104"/>
      <c r="F77" s="104">
        <f ca="1">IF(D77="","",((LN(D77/(100-D77)))-B50)/B51)</f>
        <v>11.80338607489182</v>
      </c>
      <c r="G77" s="104">
        <f t="shared" ca="1" si="19"/>
        <v>7.1168237998896826</v>
      </c>
      <c r="H77" s="103" t="str">
        <f ca="1">IF(I176=C77,I77,"")</f>
        <v/>
      </c>
      <c r="I77" s="104">
        <f t="shared" ca="1" si="21"/>
        <v>11.8</v>
      </c>
      <c r="J77" s="103" t="s">
        <v>77</v>
      </c>
      <c r="K77" s="102">
        <f>(EXP(B50+B51*K74)/((EXP(B50+B51*K74)+1)))*100</f>
        <v>99.000000148366766</v>
      </c>
      <c r="L77" s="104"/>
      <c r="M77" s="104"/>
      <c r="N77" s="104"/>
      <c r="O77" s="100"/>
      <c r="P77" s="100"/>
      <c r="Q77" s="100"/>
      <c r="R77" s="11"/>
      <c r="S77" s="11"/>
      <c r="T77" s="11"/>
      <c r="U77" s="11"/>
      <c r="V77" s="11"/>
    </row>
    <row r="78" spans="1:22" x14ac:dyDescent="0.3">
      <c r="A78" s="104">
        <f t="shared" ca="1" si="20"/>
        <v>8.3292265128324008</v>
      </c>
      <c r="B78" s="104">
        <f ca="1">IF(A78="","",SMALL(A74:A173,5))</f>
        <v>7.8778891126128094</v>
      </c>
      <c r="C78" s="104">
        <f>'FALL 3'!C78</f>
        <v>5</v>
      </c>
      <c r="D78" s="104">
        <f ca="1">IF(C78=0,"",(B78*0.01*(K77-K78)+K78))</f>
        <v>8.7203312053701456</v>
      </c>
      <c r="E78" s="104"/>
      <c r="F78" s="104">
        <f ca="1">IF(D78="","",((LN(D78/(100-D78)))-B50)/B51)</f>
        <v>12.979622727627584</v>
      </c>
      <c r="G78" s="104">
        <f t="shared" ca="1" si="19"/>
        <v>8.7203312053701456</v>
      </c>
      <c r="H78" s="103" t="str">
        <f ca="1">IF(I176=C78,I78,"")</f>
        <v/>
      </c>
      <c r="I78" s="104">
        <f t="shared" ca="1" si="21"/>
        <v>13</v>
      </c>
      <c r="J78" s="103" t="s">
        <v>78</v>
      </c>
      <c r="K78" s="102">
        <f>(EXP(B50+B51*K75)/((EXP(B50+B51*K75)+1)))*100</f>
        <v>0.99999985163325522</v>
      </c>
      <c r="L78" s="104"/>
      <c r="M78" s="104"/>
      <c r="N78" s="104"/>
      <c r="O78" s="100"/>
      <c r="P78" s="100"/>
      <c r="Q78" s="100"/>
      <c r="R78" s="11"/>
      <c r="S78" s="11"/>
      <c r="T78" s="11"/>
      <c r="U78" s="11"/>
      <c r="V78" s="11"/>
    </row>
    <row r="79" spans="1:22" x14ac:dyDescent="0.3">
      <c r="A79" s="104">
        <f t="shared" ca="1" si="20"/>
        <v>44.435181782015576</v>
      </c>
      <c r="B79" s="104">
        <f ca="1">IF(A79="","",SMALL(A74:A173,6))</f>
        <v>7.9792581830077429</v>
      </c>
      <c r="C79" s="104">
        <f>'FALL 3'!C79</f>
        <v>6</v>
      </c>
      <c r="D79" s="104">
        <f ca="1">IF(C79=0,"",(B79*0.01*(K77-K78)+K78))</f>
        <v>8.8196728946579768</v>
      </c>
      <c r="E79" s="104"/>
      <c r="F79" s="104">
        <f ca="1">IF(D79="","",((LN(D79/(100-D79)))-B50)/B51)</f>
        <v>13.045824199935556</v>
      </c>
      <c r="G79" s="104">
        <f t="shared" ca="1" si="19"/>
        <v>8.8196728946579768</v>
      </c>
      <c r="H79" s="103" t="str">
        <f ca="1">IF(I176=C79,I79,"")</f>
        <v/>
      </c>
      <c r="I79" s="104">
        <f t="shared" ca="1" si="21"/>
        <v>13</v>
      </c>
      <c r="J79" s="104"/>
      <c r="K79" s="100"/>
      <c r="L79" s="104"/>
      <c r="M79" s="104"/>
      <c r="N79" s="104"/>
      <c r="O79" s="100"/>
      <c r="P79" s="100"/>
      <c r="Q79" s="100"/>
      <c r="R79" s="11"/>
      <c r="S79" s="11"/>
      <c r="T79" s="11"/>
      <c r="U79" s="11"/>
      <c r="V79" s="11"/>
    </row>
    <row r="80" spans="1:22" x14ac:dyDescent="0.3">
      <c r="A80" s="104">
        <f t="shared" ca="1" si="20"/>
        <v>36.085808218651522</v>
      </c>
      <c r="B80" s="104">
        <f ca="1">IF(A80="","",SMALL(A74:A173,7))</f>
        <v>8.3292265128324008</v>
      </c>
      <c r="C80" s="104">
        <f>'FALL 3'!C80</f>
        <v>7</v>
      </c>
      <c r="D80" s="104">
        <f ca="1">IF(C80=0,"",(B80*0.01*(K77-K78)+K78))</f>
        <v>9.1626418589246157</v>
      </c>
      <c r="E80" s="104"/>
      <c r="F80" s="104">
        <f ca="1">IF(D80="","",((LN(D80/(100-D80)))-B50)/B51)</f>
        <v>13.269321786363717</v>
      </c>
      <c r="G80" s="104">
        <f t="shared" ca="1" si="19"/>
        <v>9.1626418589246157</v>
      </c>
      <c r="H80" s="103" t="str">
        <f ca="1">IF(I176=C80,I80,"")</f>
        <v/>
      </c>
      <c r="I80" s="104">
        <f t="shared" ca="1" si="21"/>
        <v>13.3</v>
      </c>
      <c r="J80" s="104"/>
      <c r="K80" s="103">
        <f>'NUR MIT PASSWORT'!$J$24</f>
        <v>100</v>
      </c>
      <c r="L80" s="104"/>
      <c r="M80" s="104"/>
      <c r="N80" s="104"/>
      <c r="O80" s="100"/>
      <c r="P80" s="100"/>
      <c r="Q80" s="100"/>
      <c r="R80" s="11"/>
      <c r="S80" s="11"/>
      <c r="T80" s="11"/>
      <c r="U80" s="11"/>
      <c r="V80" s="11"/>
    </row>
    <row r="81" spans="1:22" x14ac:dyDescent="0.3">
      <c r="A81" s="104">
        <f t="shared" ca="1" si="20"/>
        <v>16.945542110822593</v>
      </c>
      <c r="B81" s="104">
        <f ca="1">IF(A81="","",SMALL(A74:A173,8))</f>
        <v>9.2071704567484343</v>
      </c>
      <c r="C81" s="104">
        <f>'FALL 3'!C81</f>
        <v>8</v>
      </c>
      <c r="D81" s="104">
        <f ca="1">IF(C81=0,"",(B81*0.01*(K77-K78)+K78))</f>
        <v>10.023026926567482</v>
      </c>
      <c r="E81" s="104"/>
      <c r="F81" s="104">
        <f ca="1">IF(D81="","",((LN(D81/(100-D81)))-B50)/B51)</f>
        <v>13.798590290076714</v>
      </c>
      <c r="G81" s="104">
        <f t="shared" ca="1" si="19"/>
        <v>10.023026926567482</v>
      </c>
      <c r="H81" s="103" t="str">
        <f ca="1">IF(I176=C81,I81,"")</f>
        <v/>
      </c>
      <c r="I81" s="104">
        <f t="shared" ca="1" si="21"/>
        <v>13.8</v>
      </c>
      <c r="J81" s="104"/>
      <c r="K81" s="100"/>
      <c r="L81" s="104"/>
      <c r="M81" s="104"/>
      <c r="N81" s="104"/>
      <c r="O81" s="100"/>
      <c r="P81" s="100"/>
      <c r="Q81" s="100"/>
      <c r="R81" s="11"/>
      <c r="S81" s="11"/>
      <c r="T81" s="11"/>
      <c r="U81" s="11"/>
      <c r="V81" s="11"/>
    </row>
    <row r="82" spans="1:22" x14ac:dyDescent="0.3">
      <c r="A82" s="104">
        <f t="shared" ca="1" si="20"/>
        <v>64.375521753109211</v>
      </c>
      <c r="B82" s="104">
        <f ca="1">IF(A82="","",SMALL(A74:A173,9))</f>
        <v>10.019390991590589</v>
      </c>
      <c r="C82" s="104">
        <f>'FALL 3'!C82</f>
        <v>9</v>
      </c>
      <c r="D82" s="104">
        <f ca="1">IF(C82=0,"",(B82*0.01*(K77-K78)+K78))</f>
        <v>10.819003053122923</v>
      </c>
      <c r="E82" s="104"/>
      <c r="F82" s="104">
        <f ca="1">IF(D82="","",((LN(D82/(100-D82)))-B50)/B51)</f>
        <v>14.253413559891202</v>
      </c>
      <c r="G82" s="104">
        <f t="shared" ca="1" si="19"/>
        <v>10.819003053122923</v>
      </c>
      <c r="H82" s="103" t="str">
        <f ca="1">IF(I176=C82,I82,"")</f>
        <v/>
      </c>
      <c r="I82" s="104">
        <f t="shared" ca="1" si="21"/>
        <v>14.3</v>
      </c>
      <c r="J82" s="104"/>
      <c r="K82" s="100"/>
      <c r="L82" s="104"/>
      <c r="M82" s="104"/>
      <c r="N82" s="104"/>
      <c r="O82" s="100"/>
      <c r="P82" s="100"/>
      <c r="Q82" s="100"/>
      <c r="R82" s="11"/>
      <c r="S82" s="11"/>
      <c r="T82" s="11"/>
      <c r="U82" s="11"/>
      <c r="V82" s="11"/>
    </row>
    <row r="83" spans="1:22" x14ac:dyDescent="0.3">
      <c r="A83" s="104">
        <f t="shared" ca="1" si="20"/>
        <v>46.655921692387203</v>
      </c>
      <c r="B83" s="104">
        <f ca="1">IF(A83="","",SMALL(A74:A1173,10))</f>
        <v>10.590646378296471</v>
      </c>
      <c r="C83" s="104">
        <f>'FALL 3'!C83</f>
        <v>10</v>
      </c>
      <c r="D83" s="104">
        <f ca="1">IF(C83=0,"",(B83*0.01*(K77-K78)+K78))</f>
        <v>11.378833333789794</v>
      </c>
      <c r="E83" s="104"/>
      <c r="F83" s="104">
        <f ca="1">IF(D83="","",((LN(D83/(100-D83)))-B50)/B51)</f>
        <v>14.555979443745057</v>
      </c>
      <c r="G83" s="104">
        <f t="shared" ca="1" si="19"/>
        <v>11.378833333789794</v>
      </c>
      <c r="H83" s="103" t="str">
        <f ca="1">IF(I176=C83,I83,"")</f>
        <v/>
      </c>
      <c r="I83" s="104">
        <f t="shared" ca="1" si="21"/>
        <v>14.6</v>
      </c>
      <c r="J83" s="104"/>
      <c r="K83" s="100"/>
      <c r="L83" s="104"/>
      <c r="M83" s="104"/>
      <c r="N83" s="104"/>
      <c r="O83" s="100"/>
      <c r="P83" s="100"/>
      <c r="Q83" s="100"/>
      <c r="R83" s="11"/>
      <c r="S83" s="11"/>
      <c r="T83" s="11"/>
      <c r="U83" s="11"/>
      <c r="V83" s="11"/>
    </row>
    <row r="84" spans="1:22" x14ac:dyDescent="0.3">
      <c r="A84" s="104">
        <f t="shared" ca="1" si="20"/>
        <v>37.423964583259938</v>
      </c>
      <c r="B84" s="104">
        <f ca="1">IF(A84="","",SMALL(A74:A173,11))</f>
        <v>11.269954713260011</v>
      </c>
      <c r="C84" s="104">
        <f>'FALL 3'!C84</f>
        <v>11</v>
      </c>
      <c r="D84" s="104">
        <f ca="1">IF(C84=0,"",(B84*0.01*(K77-K78)+K78))</f>
        <v>12.044555504069798</v>
      </c>
      <c r="E84" s="104"/>
      <c r="F84" s="104">
        <f ca="1">IF(D84="","",((LN(D84/(100-D84)))-B50)/B51)</f>
        <v>14.899334030217355</v>
      </c>
      <c r="G84" s="104">
        <f t="shared" ca="1" si="19"/>
        <v>12.044555504069798</v>
      </c>
      <c r="H84" s="103" t="str">
        <f ca="1">IF(I176=C84,I84,"")</f>
        <v/>
      </c>
      <c r="I84" s="104">
        <f t="shared" ca="1" si="21"/>
        <v>14.9</v>
      </c>
      <c r="J84" s="104"/>
      <c r="K84" s="100"/>
      <c r="L84" s="104"/>
      <c r="M84" s="104"/>
      <c r="N84" s="104"/>
      <c r="O84" s="100"/>
      <c r="P84" s="100"/>
      <c r="Q84" s="100"/>
      <c r="R84" s="11"/>
      <c r="S84" s="11"/>
      <c r="T84" s="11"/>
      <c r="U84" s="11"/>
      <c r="V84" s="11"/>
    </row>
    <row r="85" spans="1:22" x14ac:dyDescent="0.3">
      <c r="A85" s="104">
        <f t="shared" ca="1" si="20"/>
        <v>88.597556145899972</v>
      </c>
      <c r="B85" s="104">
        <f ca="1">IF(A85="","",SMALL(A74:A173,12))</f>
        <v>11.375565767978792</v>
      </c>
      <c r="C85" s="104">
        <f>'FALL 3'!C85</f>
        <v>12</v>
      </c>
      <c r="D85" s="104">
        <f ca="1">IF(C85=0,"",(B85*0.01*(K77-K78)+K78))</f>
        <v>12.148054338007588</v>
      </c>
      <c r="E85" s="104"/>
      <c r="F85" s="104">
        <f ca="1">IF(D85="","",((LN(D85/(100-D85)))-B50)/B51)</f>
        <v>14.951231616771091</v>
      </c>
      <c r="G85" s="104">
        <f t="shared" ca="1" si="19"/>
        <v>12.148054338007588</v>
      </c>
      <c r="H85" s="103" t="str">
        <f ca="1">IF(I176=C85,I85,"")</f>
        <v/>
      </c>
      <c r="I85" s="104">
        <f t="shared" ca="1" si="21"/>
        <v>15</v>
      </c>
      <c r="J85" s="104"/>
      <c r="K85" s="100"/>
      <c r="L85" s="104"/>
      <c r="M85" s="104"/>
      <c r="N85" s="104"/>
      <c r="O85" s="100"/>
      <c r="P85" s="100"/>
      <c r="Q85" s="100"/>
      <c r="R85" s="11"/>
      <c r="S85" s="11"/>
      <c r="T85" s="11"/>
      <c r="U85" s="11"/>
      <c r="V85" s="11"/>
    </row>
    <row r="86" spans="1:22" x14ac:dyDescent="0.3">
      <c r="A86" s="104">
        <f t="shared" ca="1" si="20"/>
        <v>20.589823367761127</v>
      </c>
      <c r="B86" s="104">
        <f ca="1">IF(A86="","",SMALL(A74:A173,13))</f>
        <v>11.451447911748893</v>
      </c>
      <c r="C86" s="104">
        <f>'FALL 3'!C86</f>
        <v>13</v>
      </c>
      <c r="D86" s="104">
        <f ca="1">(IF(C86=0,"",B86*0.01*(K77-K78)+K78))</f>
        <v>12.222418839127455</v>
      </c>
      <c r="E86" s="104"/>
      <c r="F86" s="104">
        <f ca="1">IF(D86="","",((LN(D86/(100-D86)))-B50)/B51)</f>
        <v>14.988285572748687</v>
      </c>
      <c r="G86" s="104">
        <f t="shared" ca="1" si="19"/>
        <v>12.222418839127455</v>
      </c>
      <c r="H86" s="103" t="str">
        <f>IF(I1876=C86,I86,"")</f>
        <v/>
      </c>
      <c r="I86" s="104">
        <f t="shared" ca="1" si="21"/>
        <v>15</v>
      </c>
      <c r="J86" s="104"/>
      <c r="K86" s="100"/>
      <c r="L86" s="104"/>
      <c r="M86" s="104"/>
      <c r="N86" s="104"/>
      <c r="O86" s="100"/>
      <c r="P86" s="100"/>
      <c r="Q86" s="100"/>
      <c r="R86" s="11"/>
      <c r="S86" s="11"/>
      <c r="T86" s="11"/>
      <c r="U86" s="11"/>
      <c r="V86" s="11"/>
    </row>
    <row r="87" spans="1:22" x14ac:dyDescent="0.3">
      <c r="A87" s="104">
        <f t="shared" ca="1" si="20"/>
        <v>37.294995764716731</v>
      </c>
      <c r="B87" s="104">
        <f ca="1">IF(A87="","",SMALL(A74:A173,14))</f>
        <v>11.457603398154287</v>
      </c>
      <c r="C87" s="104">
        <f>'FALL 3'!C87</f>
        <v>14</v>
      </c>
      <c r="D87" s="104">
        <f ca="1">IF(C87=0,"",(B87*0.01*(K77-K78)+K78))</f>
        <v>12.228451215823005</v>
      </c>
      <c r="E87" s="104"/>
      <c r="F87" s="104">
        <f ca="1">IF(D87="","",((LN(D87/(100-D87)))-B50)/B51)</f>
        <v>14.991282834562643</v>
      </c>
      <c r="G87" s="104">
        <f t="shared" ca="1" si="19"/>
        <v>12.228451215823005</v>
      </c>
      <c r="H87" s="103" t="str">
        <f ca="1">IF(I176=C87,I87,"")</f>
        <v/>
      </c>
      <c r="I87" s="104">
        <f t="shared" ca="1" si="21"/>
        <v>15</v>
      </c>
      <c r="J87" s="104"/>
      <c r="K87" s="100"/>
      <c r="L87" s="104"/>
      <c r="M87" s="104"/>
      <c r="N87" s="104"/>
      <c r="O87" s="100"/>
      <c r="P87" s="100"/>
      <c r="Q87" s="100"/>
      <c r="R87" s="11"/>
      <c r="S87" s="11"/>
      <c r="T87" s="11"/>
      <c r="U87" s="11"/>
      <c r="V87" s="11"/>
    </row>
    <row r="88" spans="1:22" x14ac:dyDescent="0.3">
      <c r="A88" s="104">
        <f t="shared" ca="1" si="20"/>
        <v>63.754889762037593</v>
      </c>
      <c r="B88" s="104">
        <f ca="1">IF(A88="","",SMALL(A74:A173,15))</f>
        <v>12.495030161389733</v>
      </c>
      <c r="C88" s="104">
        <f>'FALL 3'!C88</f>
        <v>15</v>
      </c>
      <c r="D88" s="104">
        <f ca="1">IF(C88=0,"",(B88*0.01*(K77-K78)+K78))</f>
        <v>13.245129446872136</v>
      </c>
      <c r="E88" s="104"/>
      <c r="F88" s="104">
        <f ca="1">IF(D88="","",((LN(D88/(100-D88)))-B50)/B51)</f>
        <v>15.479219624864601</v>
      </c>
      <c r="G88" s="104">
        <f t="shared" ca="1" si="19"/>
        <v>13.245129446872136</v>
      </c>
      <c r="H88" s="103" t="str">
        <f ca="1">IF(I176=C88,I88,"")</f>
        <v/>
      </c>
      <c r="I88" s="104">
        <f t="shared" ca="1" si="21"/>
        <v>15.5</v>
      </c>
      <c r="J88" s="104"/>
      <c r="K88" s="100"/>
      <c r="L88" s="104"/>
      <c r="M88" s="104"/>
      <c r="N88" s="104"/>
      <c r="O88" s="100"/>
      <c r="P88" s="100"/>
      <c r="Q88" s="100"/>
      <c r="R88" s="11"/>
      <c r="S88" s="11"/>
      <c r="T88" s="11"/>
      <c r="U88" s="11"/>
      <c r="V88" s="11"/>
    </row>
    <row r="89" spans="1:22" x14ac:dyDescent="0.3">
      <c r="A89" s="104">
        <f t="shared" ca="1" si="20"/>
        <v>54.895501547011705</v>
      </c>
      <c r="B89" s="104">
        <f ca="1">IF(A89="","",SMALL(A74:A173,16))</f>
        <v>13.19425429109878</v>
      </c>
      <c r="C89" s="104">
        <f>'FALL 3'!C89</f>
        <v>16</v>
      </c>
      <c r="D89" s="104">
        <f ca="1">(IF(C89=0,"",B89*0.01*(K77-K78)+K78))</f>
        <v>13.930369096061835</v>
      </c>
      <c r="E89" s="104"/>
      <c r="F89" s="104">
        <f ca="1">IF(D89="","",((LN(D89/(100-D89)))-B50)/B51)</f>
        <v>15.790440513672836</v>
      </c>
      <c r="G89" s="104">
        <f t="shared" ca="1" si="19"/>
        <v>13.930369096061835</v>
      </c>
      <c r="H89" s="103" t="str">
        <f ca="1">IF(I176=C89,I89,"")</f>
        <v/>
      </c>
      <c r="I89" s="104">
        <f t="shared" ca="1" si="21"/>
        <v>15.8</v>
      </c>
      <c r="J89" s="104"/>
      <c r="K89" s="100"/>
      <c r="L89" s="104"/>
      <c r="M89" s="104"/>
      <c r="N89" s="104"/>
      <c r="O89" s="100"/>
      <c r="P89" s="100"/>
      <c r="Q89" s="100"/>
      <c r="R89" s="11"/>
      <c r="S89" s="11"/>
      <c r="T89" s="11"/>
      <c r="U89" s="11"/>
      <c r="V89" s="11"/>
    </row>
    <row r="90" spans="1:22" x14ac:dyDescent="0.3">
      <c r="A90" s="104">
        <f t="shared" ca="1" si="20"/>
        <v>39.104232457172415</v>
      </c>
      <c r="B90" s="104">
        <f ca="1">IF(A90="","",SMALL(A74:A173,17))</f>
        <v>15.65190118647228</v>
      </c>
      <c r="C90" s="104">
        <f>'FALL 3'!C90</f>
        <v>17</v>
      </c>
      <c r="D90" s="104">
        <f ca="1">IF(C90=0,"",(B90*0.01*(K77-K78)+K78))</f>
        <v>16.338863060820525</v>
      </c>
      <c r="E90" s="104"/>
      <c r="F90" s="104">
        <f ca="1">IF(D90="","",((LN(D90/(100-D90)))-B50)/B51)</f>
        <v>16.792047389140059</v>
      </c>
      <c r="G90" s="104">
        <f t="shared" ca="1" si="19"/>
        <v>16.338863060820525</v>
      </c>
      <c r="H90" s="103" t="str">
        <f ca="1">IF(I176=C90,I90,"")</f>
        <v/>
      </c>
      <c r="I90" s="104">
        <f t="shared" ca="1" si="21"/>
        <v>16.8</v>
      </c>
      <c r="J90" s="104"/>
      <c r="K90" s="100"/>
      <c r="L90" s="104"/>
      <c r="M90" s="104"/>
      <c r="N90" s="104"/>
      <c r="O90" s="100"/>
      <c r="P90" s="100"/>
      <c r="Q90" s="100"/>
      <c r="R90" s="11"/>
      <c r="S90" s="11"/>
      <c r="T90" s="11"/>
      <c r="U90" s="11"/>
      <c r="V90" s="11"/>
    </row>
    <row r="91" spans="1:22" x14ac:dyDescent="0.3">
      <c r="A91" s="104">
        <f t="shared" ca="1" si="20"/>
        <v>40.897380354326266</v>
      </c>
      <c r="B91" s="104">
        <f ca="1">IF(A91="","",SMALL(A74:A173,18))</f>
        <v>16.828481962587652</v>
      </c>
      <c r="C91" s="104">
        <f>'FALL 3'!C91</f>
        <v>18</v>
      </c>
      <c r="D91" s="104">
        <f ca="1">IF(C91=0,"",(B91*0.01*(K77-K78)+K78))</f>
        <v>17.491912224904901</v>
      </c>
      <c r="E91" s="104"/>
      <c r="F91" s="104">
        <f ca="1">IF(D91="","",((LN(D91/(100-D91)))-B50)/B51)</f>
        <v>17.229625382385102</v>
      </c>
      <c r="G91" s="104">
        <f t="shared" ca="1" si="19"/>
        <v>17.491912224904901</v>
      </c>
      <c r="H91" s="103" t="str">
        <f>IF(I1976=C91,I91,"")</f>
        <v/>
      </c>
      <c r="I91" s="104">
        <f t="shared" ca="1" si="21"/>
        <v>17.2</v>
      </c>
      <c r="J91" s="104"/>
      <c r="K91" s="100"/>
      <c r="L91" s="104"/>
      <c r="M91" s="104"/>
      <c r="N91" s="104"/>
      <c r="O91" s="100"/>
      <c r="P91" s="100"/>
      <c r="Q91" s="100"/>
      <c r="R91" s="11"/>
      <c r="S91" s="11"/>
      <c r="T91" s="11"/>
      <c r="U91" s="11"/>
      <c r="V91" s="11"/>
    </row>
    <row r="92" spans="1:22" x14ac:dyDescent="0.3">
      <c r="A92" s="104">
        <f t="shared" ca="1" si="20"/>
        <v>51.412461309324222</v>
      </c>
      <c r="B92" s="104">
        <f ca="1">IF(A92="","",SMALL(A74:A1173,19))</f>
        <v>16.945542110822593</v>
      </c>
      <c r="C92" s="104">
        <f>'FALL 3'!C92</f>
        <v>19</v>
      </c>
      <c r="D92" s="104">
        <f ca="1">IF(C92=0,"",(B92*0.01*(K77-K78)+K78))</f>
        <v>17.606631170522501</v>
      </c>
      <c r="E92" s="104"/>
      <c r="F92" s="104">
        <f ca="1">IF(D92="","",((LN(D92/(100-D92)))-B50)/B51)</f>
        <v>17.271897311456758</v>
      </c>
      <c r="G92" s="104">
        <f t="shared" ca="1" si="19"/>
        <v>17.606631170522501</v>
      </c>
      <c r="H92" s="103" t="str">
        <f ca="1">IF(I176=C92,I92,"")</f>
        <v/>
      </c>
      <c r="I92" s="104">
        <f t="shared" ca="1" si="21"/>
        <v>17.3</v>
      </c>
      <c r="J92" s="104"/>
      <c r="K92" s="100"/>
      <c r="L92" s="104"/>
      <c r="M92" s="104"/>
      <c r="N92" s="104"/>
      <c r="O92" s="100"/>
      <c r="P92" s="100"/>
      <c r="Q92" s="100"/>
      <c r="R92" s="11"/>
      <c r="S92" s="11"/>
      <c r="T92" s="11"/>
      <c r="U92" s="11"/>
      <c r="V92" s="11"/>
    </row>
    <row r="93" spans="1:22" x14ac:dyDescent="0.3">
      <c r="A93" s="104">
        <f t="shared" ca="1" si="20"/>
        <v>76.151911898042954</v>
      </c>
      <c r="B93" s="104">
        <f ca="1">IF(A93="","",SMALL(A74:A173,20))</f>
        <v>17.265827010508993</v>
      </c>
      <c r="C93" s="104">
        <f>'FALL 3'!C93</f>
        <v>20</v>
      </c>
      <c r="D93" s="104">
        <f ca="1">IF(C93=0,"",(B93*0.01*(K77-K78)+K78))</f>
        <v>17.920510373165566</v>
      </c>
      <c r="E93" s="104"/>
      <c r="F93" s="104">
        <f ca="1">IF(D93="","",((LN(D93/(100-D93)))-B50)/B51)</f>
        <v>17.386460907944404</v>
      </c>
      <c r="G93" s="104">
        <f t="shared" ca="1" si="19"/>
        <v>17.920510373165566</v>
      </c>
      <c r="H93" s="103" t="str">
        <f ca="1">IF(I176=C93,I93,"")</f>
        <v/>
      </c>
      <c r="I93" s="104">
        <f t="shared" ca="1" si="21"/>
        <v>17.399999999999999</v>
      </c>
      <c r="J93" s="100"/>
      <c r="K93" s="100"/>
      <c r="L93" s="104"/>
      <c r="M93" s="104"/>
      <c r="N93" s="104"/>
      <c r="O93" s="100"/>
      <c r="P93" s="100"/>
      <c r="Q93" s="100"/>
      <c r="R93" s="11"/>
      <c r="S93" s="11"/>
      <c r="T93" s="11"/>
      <c r="U93" s="11"/>
      <c r="V93" s="11"/>
    </row>
    <row r="94" spans="1:22" x14ac:dyDescent="0.3">
      <c r="A94" s="104">
        <f t="shared" ca="1" si="20"/>
        <v>58.150933152521191</v>
      </c>
      <c r="B94" s="104">
        <f ca="1">IF(A94="","",SMALL(A74:A173,21))</f>
        <v>18.864727548323515</v>
      </c>
      <c r="C94" s="104">
        <f>'FALL 3'!C94</f>
        <v>21</v>
      </c>
      <c r="D94" s="104">
        <f ca="1">IF(C94=0,"",(B94*0.01*(K77-K78)+K78))</f>
        <v>19.487432904968269</v>
      </c>
      <c r="E94" s="104"/>
      <c r="F94" s="104">
        <f ca="1">IF(D94="","",((LN(D94/(100-D94)))-B50)/B51)</f>
        <v>17.936157140915746</v>
      </c>
      <c r="G94" s="104">
        <f t="shared" ca="1" si="19"/>
        <v>19.487432904968269</v>
      </c>
      <c r="H94" s="103" t="str">
        <f ca="1">IF(I176=C94,I94,"")</f>
        <v/>
      </c>
      <c r="I94" s="104">
        <f t="shared" ca="1" si="21"/>
        <v>17.899999999999999</v>
      </c>
      <c r="J94" s="100"/>
      <c r="K94" s="100"/>
      <c r="L94" s="104"/>
      <c r="M94" s="104"/>
      <c r="N94" s="104"/>
      <c r="O94" s="100"/>
      <c r="P94" s="100"/>
      <c r="Q94" s="100"/>
      <c r="R94" s="11"/>
      <c r="S94" s="11"/>
      <c r="T94" s="11"/>
      <c r="U94" s="11"/>
      <c r="V94" s="11"/>
    </row>
    <row r="95" spans="1:22" x14ac:dyDescent="0.3">
      <c r="A95" s="104">
        <f t="shared" ca="1" si="20"/>
        <v>28.622111561938922</v>
      </c>
      <c r="B95" s="104">
        <f ca="1">IF(A95="","",SMALL(A74:A173,22))</f>
        <v>18.971744052733946</v>
      </c>
      <c r="C95" s="104">
        <f>'FALL 3'!C95</f>
        <v>22</v>
      </c>
      <c r="D95" s="104">
        <f ca="1">IF(C95=0,"",(B95*0.01*(K77-K78)+K78))</f>
        <v>19.592309079608047</v>
      </c>
      <c r="E95" s="104"/>
      <c r="F95" s="104">
        <f ca="1">IF(D95="","",((LN(D95/(100-D95)))-B50)/B51)</f>
        <v>17.971723916885313</v>
      </c>
      <c r="G95" s="104">
        <f t="shared" ca="1" si="19"/>
        <v>19.592309079608047</v>
      </c>
      <c r="H95" s="103" t="str">
        <f ca="1">IF(I176=C95,I95,"")</f>
        <v/>
      </c>
      <c r="I95" s="104">
        <f t="shared" ca="1" si="21"/>
        <v>18</v>
      </c>
      <c r="J95" s="100"/>
      <c r="K95" s="100"/>
      <c r="L95" s="104"/>
      <c r="M95" s="104"/>
      <c r="N95" s="104"/>
      <c r="O95" s="100"/>
      <c r="P95" s="100"/>
      <c r="Q95" s="100"/>
      <c r="R95" s="11"/>
      <c r="S95" s="11"/>
      <c r="T95" s="11"/>
      <c r="U95" s="11"/>
      <c r="V95" s="11"/>
    </row>
    <row r="96" spans="1:22" x14ac:dyDescent="0.3">
      <c r="A96" s="104">
        <f t="shared" ca="1" si="20"/>
        <v>4.0240211055532891</v>
      </c>
      <c r="B96" s="104">
        <f ca="1">IF(A96="","",SMALL(A74:A173,23))</f>
        <v>19.796261521170663</v>
      </c>
      <c r="C96" s="104">
        <f>'FALL 3'!C96</f>
        <v>23</v>
      </c>
      <c r="D96" s="104">
        <f ca="1">IF(C96=0,"",(B96*0.01*(K77-K78)+K78))</f>
        <v>20.400336201122649</v>
      </c>
      <c r="E96" s="104"/>
      <c r="F96" s="104">
        <f ca="1">IF(D96="","",((LN(D96/(100-D96)))-B50)/B51)</f>
        <v>18.241052908919045</v>
      </c>
      <c r="G96" s="104">
        <f t="shared" ca="1" si="19"/>
        <v>20.400336201122649</v>
      </c>
      <c r="H96" s="103" t="str">
        <f>IF(I1976=C96,I96,"")</f>
        <v/>
      </c>
      <c r="I96" s="104">
        <f t="shared" ca="1" si="21"/>
        <v>18.2</v>
      </c>
      <c r="J96" s="100"/>
      <c r="K96" s="100"/>
      <c r="L96" s="104"/>
      <c r="M96" s="104"/>
      <c r="N96" s="104"/>
      <c r="O96" s="100"/>
      <c r="P96" s="100"/>
      <c r="Q96" s="100"/>
      <c r="R96" s="11"/>
      <c r="S96" s="11"/>
      <c r="T96" s="11"/>
      <c r="U96" s="11"/>
      <c r="V96" s="11"/>
    </row>
    <row r="97" spans="1:22" x14ac:dyDescent="0.3">
      <c r="A97" s="104">
        <f t="shared" ca="1" si="20"/>
        <v>45.334163788069013</v>
      </c>
      <c r="B97" s="104">
        <f ca="1">IF(A97="","",SMALL(A74:A173,24))</f>
        <v>20.589823367761127</v>
      </c>
      <c r="C97" s="104">
        <f>'FALL 3'!C97</f>
        <v>24</v>
      </c>
      <c r="D97" s="104">
        <f ca="1">IF(C97=0,"",(B97*0.01*(K77-K78)+K78))</f>
        <v>21.178026813136068</v>
      </c>
      <c r="E97" s="104"/>
      <c r="F97" s="104">
        <f ca="1">IF(D97="","",((LN(D97/(100-D97)))-B50)/B51)</f>
        <v>18.492875704001065</v>
      </c>
      <c r="G97" s="104">
        <f t="shared" ca="1" si="19"/>
        <v>21.178026813136068</v>
      </c>
      <c r="H97" s="103" t="str">
        <f ca="1">IF(I176=C97,I97,"")</f>
        <v/>
      </c>
      <c r="I97" s="104">
        <f t="shared" ca="1" si="21"/>
        <v>18.5</v>
      </c>
      <c r="J97" s="100"/>
      <c r="K97" s="100"/>
      <c r="L97" s="104"/>
      <c r="M97" s="104"/>
      <c r="N97" s="104"/>
      <c r="O97" s="100"/>
      <c r="P97" s="100"/>
      <c r="Q97" s="100"/>
      <c r="R97" s="11"/>
      <c r="S97" s="11"/>
      <c r="T97" s="11"/>
      <c r="U97" s="11"/>
      <c r="V97" s="11"/>
    </row>
    <row r="98" spans="1:22" x14ac:dyDescent="0.3">
      <c r="A98" s="104">
        <f t="shared" ca="1" si="20"/>
        <v>94.873037875272786</v>
      </c>
      <c r="B98" s="104">
        <f ca="1">IF(A98="","",SMALL(A74:A173,25))</f>
        <v>21.396155641621537</v>
      </c>
      <c r="C98" s="104">
        <f>'FALL 3'!C98</f>
        <v>25</v>
      </c>
      <c r="D98" s="104">
        <f ca="1">IF(C98=0,"",(B98*0.01*(K77-K78)+K78))</f>
        <v>21.968232443911926</v>
      </c>
      <c r="E98" s="104"/>
      <c r="F98" s="104">
        <f ca="1">IF(D98="","",((LN(D98/(100-D98)))-B50)/B51)</f>
        <v>18.741916324602148</v>
      </c>
      <c r="G98" s="104">
        <f t="shared" ca="1" si="19"/>
        <v>21.968232443911926</v>
      </c>
      <c r="H98" s="103" t="str">
        <f ca="1">IF(I176=C98,I98,"")</f>
        <v/>
      </c>
      <c r="I98" s="104">
        <f t="shared" ca="1" si="21"/>
        <v>18.7</v>
      </c>
      <c r="J98" s="100"/>
      <c r="K98" s="100"/>
      <c r="L98" s="104"/>
      <c r="M98" s="104"/>
      <c r="N98" s="104"/>
      <c r="O98" s="100"/>
      <c r="P98" s="100"/>
      <c r="Q98" s="100"/>
      <c r="R98" s="11"/>
      <c r="S98" s="11"/>
      <c r="T98" s="11"/>
      <c r="U98" s="11"/>
      <c r="V98" s="11"/>
    </row>
    <row r="99" spans="1:22" x14ac:dyDescent="0.3">
      <c r="A99" s="104">
        <f t="shared" ca="1" si="20"/>
        <v>26.612636144146308</v>
      </c>
      <c r="B99" s="104">
        <f ca="1">IF(A99="","",SMALL(A74:A173,26))</f>
        <v>22.345288991447891</v>
      </c>
      <c r="C99" s="104">
        <f>'FALL 3'!C99</f>
        <v>26</v>
      </c>
      <c r="D99" s="104">
        <f ca="1">IF(C99=0,"",(B99*0.01*(K77-K78)+K78))</f>
        <v>22.898383129558152</v>
      </c>
      <c r="E99" s="104"/>
      <c r="F99" s="104">
        <f ca="1">IF(D99="","",((LN(D99/(100-D99)))-B50)/B51)</f>
        <v>19.026954736333852</v>
      </c>
      <c r="G99" s="104">
        <f t="shared" ca="1" si="19"/>
        <v>22.898383129558152</v>
      </c>
      <c r="H99" s="103" t="str">
        <f ca="1">IF(I176=C99,I99,"")</f>
        <v/>
      </c>
      <c r="I99" s="104">
        <f t="shared" ca="1" si="21"/>
        <v>19</v>
      </c>
      <c r="J99" s="100"/>
      <c r="K99" s="100"/>
      <c r="L99" s="104"/>
      <c r="M99" s="104"/>
      <c r="N99" s="104"/>
      <c r="O99" s="100"/>
      <c r="P99" s="100"/>
      <c r="Q99" s="100"/>
      <c r="R99" s="11"/>
      <c r="S99" s="11"/>
      <c r="T99" s="11"/>
      <c r="U99" s="11"/>
      <c r="V99" s="11"/>
    </row>
    <row r="100" spans="1:22" ht="14.4" customHeight="1" x14ac:dyDescent="0.3">
      <c r="A100" s="104">
        <f t="shared" ca="1" si="20"/>
        <v>84.101427757676376</v>
      </c>
      <c r="B100" s="104">
        <f ca="1">IF(A100="","",SMALL(A74:A173,27))</f>
        <v>26.612636144146308</v>
      </c>
      <c r="C100" s="104">
        <f>'FALL 3'!C100</f>
        <v>27</v>
      </c>
      <c r="D100" s="104">
        <f ca="1">IF(C100=0,"",(B100*0.01*(K77-K78)+K78))</f>
        <v>27.080383351865247</v>
      </c>
      <c r="E100" s="104"/>
      <c r="F100" s="104">
        <f ca="1">IF(D100="","",((LN(D100/(100-D100)))-B50)/B51)</f>
        <v>20.218651925004657</v>
      </c>
      <c r="G100" s="104">
        <f t="shared" ca="1" si="19"/>
        <v>27.080383351865247</v>
      </c>
      <c r="H100" s="103" t="str">
        <f ca="1">IF(I176=C100,I100,"")</f>
        <v/>
      </c>
      <c r="I100" s="104">
        <f t="shared" ca="1" si="21"/>
        <v>20.2</v>
      </c>
      <c r="J100" s="100"/>
      <c r="K100" s="100"/>
      <c r="L100" s="104"/>
      <c r="M100" s="104"/>
      <c r="N100" s="104"/>
      <c r="O100" s="100"/>
      <c r="P100" s="100"/>
      <c r="Q100" s="100"/>
      <c r="R100" s="11"/>
      <c r="S100" s="11"/>
      <c r="T100" s="11"/>
      <c r="U100" s="11"/>
      <c r="V100" s="11"/>
    </row>
    <row r="101" spans="1:22" x14ac:dyDescent="0.3">
      <c r="A101" s="104">
        <f t="shared" ca="1" si="20"/>
        <v>7.8778891126128094</v>
      </c>
      <c r="B101" s="104">
        <f ca="1">IF(A101="","",SMALL(A74:A173,28))</f>
        <v>28.622111561938922</v>
      </c>
      <c r="C101" s="104">
        <f>'FALL 3'!C101</f>
        <v>28</v>
      </c>
      <c r="D101" s="104">
        <f ca="1">IF(C101=0,"",(B101*0.01*(K77-K78)+K78))</f>
        <v>29.0496692672648</v>
      </c>
      <c r="E101" s="104"/>
      <c r="F101" s="104">
        <f ca="1">IF(D101="","",((LN(D101/(100-D101)))-B50)/B51)</f>
        <v>20.738897420175046</v>
      </c>
      <c r="G101" s="104">
        <f t="shared" ca="1" si="19"/>
        <v>29.0496692672648</v>
      </c>
      <c r="H101" s="103" t="str">
        <f ca="1">IF(I176=C101,I101,"")</f>
        <v/>
      </c>
      <c r="I101" s="104">
        <f t="shared" ca="1" si="21"/>
        <v>20.7</v>
      </c>
      <c r="J101" s="100"/>
      <c r="K101" s="100"/>
      <c r="L101" s="104"/>
      <c r="M101" s="104"/>
      <c r="N101" s="104"/>
      <c r="O101" s="100"/>
      <c r="P101" s="100"/>
      <c r="Q101" s="100"/>
      <c r="R101" s="11"/>
      <c r="S101" s="11"/>
      <c r="T101" s="11"/>
      <c r="U101" s="11"/>
      <c r="V101" s="11"/>
    </row>
    <row r="102" spans="1:22" x14ac:dyDescent="0.3">
      <c r="A102" s="104">
        <f t="shared" ca="1" si="20"/>
        <v>73.11835341560915</v>
      </c>
      <c r="B102" s="104">
        <f ca="1">IF(A102="","",SMALL(A74:A173,29))</f>
        <v>29.274281274651297</v>
      </c>
      <c r="C102" s="104">
        <f>'FALL 3'!C102</f>
        <v>29</v>
      </c>
      <c r="D102" s="104">
        <f ca="1">IF(C102=0,"",(B102*0.01*(K77-K78)+K78))</f>
        <v>29.688795587658131</v>
      </c>
      <c r="E102" s="104"/>
      <c r="F102" s="104">
        <f ca="1">IF(D102="","",((LN(D102/(100-D102)))-B50)/B51)</f>
        <v>20.903176546448872</v>
      </c>
      <c r="G102" s="104">
        <f t="shared" ca="1" si="19"/>
        <v>29.688795587658131</v>
      </c>
      <c r="H102" s="103" t="str">
        <f ca="1">IF(I176=C102,I102,"")</f>
        <v/>
      </c>
      <c r="I102" s="104">
        <f t="shared" ca="1" si="21"/>
        <v>20.9</v>
      </c>
      <c r="J102" s="104"/>
      <c r="K102" s="104"/>
      <c r="L102" s="104"/>
      <c r="M102" s="104"/>
      <c r="N102" s="104"/>
      <c r="O102" s="104"/>
      <c r="P102" s="104"/>
      <c r="Q102" s="104"/>
      <c r="R102" s="11"/>
      <c r="S102" s="11"/>
      <c r="T102" s="11"/>
      <c r="U102" s="11"/>
      <c r="V102" s="11"/>
    </row>
    <row r="103" spans="1:22" x14ac:dyDescent="0.3">
      <c r="A103" s="104">
        <f t="shared" ca="1" si="20"/>
        <v>61.504914120920546</v>
      </c>
      <c r="B103" s="104">
        <f ca="1">IF(A103="","",SMALL(A74:A173,30))</f>
        <v>30.969706283227712</v>
      </c>
      <c r="C103" s="104">
        <f>'FALL 3'!C103</f>
        <v>30</v>
      </c>
      <c r="D103" s="104">
        <f ca="1">IF(C103=0,"",(B103*0.01*(K77-K78)+K78))</f>
        <v>31.350312101093909</v>
      </c>
      <c r="E103" s="104"/>
      <c r="F103" s="104">
        <f ca="1">IF(D103="","",((LN(D103/(100-D103)))-B50)/B51)</f>
        <v>21.321020363663916</v>
      </c>
      <c r="G103" s="104">
        <f t="shared" ca="1" si="19"/>
        <v>31.350312101093909</v>
      </c>
      <c r="H103" s="103" t="str">
        <f ca="1">IF(I176=C103,I103,"")</f>
        <v/>
      </c>
      <c r="I103" s="104">
        <f t="shared" ca="1" si="21"/>
        <v>21.3</v>
      </c>
      <c r="J103" s="104"/>
      <c r="K103" s="104"/>
      <c r="L103" s="104"/>
      <c r="M103" s="104"/>
      <c r="N103" s="104"/>
      <c r="O103" s="104"/>
      <c r="P103" s="104"/>
      <c r="Q103" s="104"/>
      <c r="R103" s="11"/>
      <c r="S103" s="11"/>
      <c r="T103" s="11"/>
      <c r="U103" s="11"/>
      <c r="V103" s="11"/>
    </row>
    <row r="104" spans="1:22" x14ac:dyDescent="0.3">
      <c r="A104" s="104">
        <f t="shared" ca="1" si="20"/>
        <v>92.40315801013071</v>
      </c>
      <c r="B104" s="104">
        <f ca="1">IF(A104="","",SMALL(A74:A173,31))</f>
        <v>32.293509215103725</v>
      </c>
      <c r="C104" s="104">
        <f>'FALL 3'!C104</f>
        <v>31</v>
      </c>
      <c r="D104" s="104">
        <f ca="1">IF(C104=0,"",(B104*0.01*(K77-K78)+K78))</f>
        <v>32.647638978260574</v>
      </c>
      <c r="E104" s="104"/>
      <c r="F104" s="104">
        <f ca="1">IF(D104="","",((LN(D104/(100-D104)))-B50)/B51)</f>
        <v>21.638935926361714</v>
      </c>
      <c r="G104" s="104">
        <f t="shared" ca="1" si="19"/>
        <v>32.647638978260574</v>
      </c>
      <c r="H104" s="103" t="str">
        <f ca="1">IF(I176=C104,I104,"")</f>
        <v/>
      </c>
      <c r="I104" s="104">
        <f t="shared" ca="1" si="21"/>
        <v>21.6</v>
      </c>
      <c r="J104" s="104"/>
      <c r="K104" s="104"/>
      <c r="L104" s="104"/>
      <c r="M104" s="104"/>
      <c r="N104" s="104"/>
      <c r="O104" s="104"/>
      <c r="P104" s="104"/>
      <c r="Q104" s="104"/>
      <c r="R104" s="11"/>
      <c r="S104" s="11"/>
      <c r="T104" s="11"/>
      <c r="U104" s="11"/>
      <c r="V104" s="11"/>
    </row>
    <row r="105" spans="1:22" x14ac:dyDescent="0.3">
      <c r="A105" s="104">
        <f t="shared" ca="1" si="20"/>
        <v>69.487537584960464</v>
      </c>
      <c r="B105" s="104">
        <f ca="1">IF(A105="","",SMALL(A74:A173,32))</f>
        <v>33.576932117907226</v>
      </c>
      <c r="C105" s="104">
        <f>'FALL 3'!C105</f>
        <v>32</v>
      </c>
      <c r="D105" s="104">
        <f ca="1">IF(C105=0,"",(B105*0.01*(K77-K78)+K78))</f>
        <v>33.905393426816346</v>
      </c>
      <c r="E105" s="104"/>
      <c r="F105" s="104">
        <f ca="1">IF(D105="","",((LN(D105/(100-D105)))-B50)/B51)</f>
        <v>21.940991814537188</v>
      </c>
      <c r="G105" s="104">
        <f t="shared" ca="1" si="19"/>
        <v>33.905393426816346</v>
      </c>
      <c r="H105" s="103" t="str">
        <f>IF(I2176=C105,I105,"")</f>
        <v/>
      </c>
      <c r="I105" s="104">
        <f t="shared" ca="1" si="21"/>
        <v>21.9</v>
      </c>
      <c r="J105" s="104"/>
      <c r="K105" s="104"/>
      <c r="L105" s="104"/>
      <c r="M105" s="104"/>
      <c r="N105" s="104"/>
      <c r="O105" s="104"/>
      <c r="P105" s="104"/>
      <c r="Q105" s="104"/>
      <c r="R105" s="11"/>
      <c r="S105" s="11"/>
      <c r="T105" s="11"/>
      <c r="U105" s="11"/>
      <c r="V105" s="11"/>
    </row>
    <row r="106" spans="1:22" x14ac:dyDescent="0.3">
      <c r="A106" s="104">
        <f t="shared" ca="1" si="20"/>
        <v>17.265827010508993</v>
      </c>
      <c r="B106" s="104">
        <f ca="1">IF(A106="","",SMALL(A74:A173,33))</f>
        <v>33.826550158117115</v>
      </c>
      <c r="C106" s="104">
        <f>'FALL 3'!C106</f>
        <v>33</v>
      </c>
      <c r="D106" s="104">
        <f ca="1">(IF(C106=0,"",B106*0.01*(K77-K78)+K78))</f>
        <v>34.150019106962738</v>
      </c>
      <c r="E106" s="104"/>
      <c r="F106" s="104">
        <f ca="1">IF(D106="","",((LN(D106/(100-D106)))-B50)/B51)</f>
        <v>21.999092120214673</v>
      </c>
      <c r="G106" s="104">
        <f t="shared" ref="G106:G137" ca="1" si="22">D106</f>
        <v>34.150019106962738</v>
      </c>
      <c r="H106" s="103" t="str">
        <f ca="1">IF(I176=C106,I106,"")</f>
        <v/>
      </c>
      <c r="I106" s="104">
        <f t="shared" ca="1" si="21"/>
        <v>22</v>
      </c>
      <c r="J106" s="104"/>
      <c r="K106" s="104"/>
      <c r="L106" s="104"/>
      <c r="M106" s="104"/>
      <c r="N106" s="104"/>
      <c r="O106" s="104"/>
      <c r="P106" s="104"/>
      <c r="Q106" s="104"/>
      <c r="R106" s="11"/>
      <c r="S106" s="11"/>
      <c r="T106" s="11"/>
      <c r="U106" s="11"/>
      <c r="V106" s="11"/>
    </row>
    <row r="107" spans="1:22" x14ac:dyDescent="0.3">
      <c r="A107" s="104">
        <f t="shared" ca="1" si="20"/>
        <v>11.375565767978792</v>
      </c>
      <c r="B107" s="104">
        <f ca="1">IF(A107="","",SMALL(A74:A173,34))</f>
        <v>34.308282062269875</v>
      </c>
      <c r="C107" s="104">
        <f>'FALL 3'!C107</f>
        <v>34</v>
      </c>
      <c r="D107" s="104">
        <f ca="1">IF(C107=0,"",(B107*0.01*(K77-K78)+K78))</f>
        <v>34.622116374461903</v>
      </c>
      <c r="E107" s="104"/>
      <c r="F107" s="104">
        <f ca="1">IF(D107="","",((LN(D107/(100-D107)))-B50)/B51)</f>
        <v>22.110656936313294</v>
      </c>
      <c r="G107" s="104">
        <f t="shared" ca="1" si="22"/>
        <v>34.622116374461903</v>
      </c>
      <c r="H107" s="103" t="str">
        <f ca="1">IF(I176=C107,I107,"")</f>
        <v/>
      </c>
      <c r="I107" s="104">
        <f t="shared" ca="1" si="21"/>
        <v>22.1</v>
      </c>
      <c r="J107" s="104"/>
      <c r="K107" s="104"/>
      <c r="L107" s="104"/>
      <c r="M107" s="104"/>
      <c r="N107" s="104"/>
      <c r="O107" s="104"/>
      <c r="P107" s="104"/>
      <c r="Q107" s="104"/>
      <c r="R107" s="11"/>
      <c r="S107" s="11"/>
      <c r="T107" s="11"/>
      <c r="U107" s="11"/>
      <c r="V107" s="11"/>
    </row>
    <row r="108" spans="1:22" x14ac:dyDescent="0.3">
      <c r="A108" s="104">
        <f t="shared" ca="1" si="20"/>
        <v>84.956127540402406</v>
      </c>
      <c r="B108" s="104">
        <f ca="1">IF(A108="","",SMALL(A74:A173,35))</f>
        <v>34.678157533357215</v>
      </c>
      <c r="C108" s="104">
        <f>'FALL 3'!C108</f>
        <v>35</v>
      </c>
      <c r="D108" s="104">
        <f ca="1">(IF(C108=0,"",B108*0.01*(K77-K78)+K78))</f>
        <v>34.984594337225047</v>
      </c>
      <c r="E108" s="104"/>
      <c r="F108" s="104">
        <f ca="1">IF(D108="","",((LN(D108/(100-D108)))-B50)/B51)</f>
        <v>22.195831010783042</v>
      </c>
      <c r="G108" s="104">
        <f t="shared" ca="1" si="22"/>
        <v>34.984594337225047</v>
      </c>
      <c r="H108" s="103" t="str">
        <f ca="1">IF(I176=C108,I108,"")</f>
        <v/>
      </c>
      <c r="I108" s="104">
        <f t="shared" ca="1" si="21"/>
        <v>22.2</v>
      </c>
      <c r="J108" s="104"/>
      <c r="K108" s="104"/>
      <c r="L108" s="104"/>
      <c r="M108" s="104"/>
      <c r="N108" s="104"/>
      <c r="O108" s="104"/>
      <c r="P108" s="104"/>
      <c r="Q108" s="104"/>
      <c r="R108" s="11"/>
      <c r="S108" s="11"/>
      <c r="T108" s="11"/>
      <c r="U108" s="11"/>
      <c r="V108" s="11"/>
    </row>
    <row r="109" spans="1:22" x14ac:dyDescent="0.3">
      <c r="A109" s="104">
        <f t="shared" ca="1" si="20"/>
        <v>95.738839918599382</v>
      </c>
      <c r="B109" s="104">
        <f ca="1">IF(A109="","",SMALL(A74:A173,36))</f>
        <v>35.354597793628201</v>
      </c>
      <c r="C109" s="104">
        <f>'FALL 3'!C109</f>
        <v>36</v>
      </c>
      <c r="D109" s="104">
        <f ca="1">IF(C109=0,"",(B109*0.01*(K77-K78)+K78))</f>
        <v>35.647505794297835</v>
      </c>
      <c r="E109" s="104"/>
      <c r="F109" s="104">
        <f ca="1">IF(D109="","",((LN(D109/(100-D109)))-B50)/B51)</f>
        <v>22.35055786183721</v>
      </c>
      <c r="G109" s="104">
        <f t="shared" ca="1" si="22"/>
        <v>35.647505794297835</v>
      </c>
      <c r="H109" s="103" t="str">
        <f ca="1">IF(I176=C109,I109,"")</f>
        <v/>
      </c>
      <c r="I109" s="104">
        <f t="shared" ca="1" si="21"/>
        <v>22.4</v>
      </c>
      <c r="J109" s="104"/>
      <c r="K109" s="104"/>
      <c r="L109" s="104"/>
      <c r="M109" s="104"/>
      <c r="N109" s="104"/>
      <c r="O109" s="104"/>
      <c r="P109" s="104"/>
      <c r="Q109" s="104"/>
      <c r="R109" s="11"/>
      <c r="S109" s="11"/>
      <c r="T109" s="11"/>
      <c r="U109" s="11"/>
      <c r="V109" s="11"/>
    </row>
    <row r="110" spans="1:22" x14ac:dyDescent="0.3">
      <c r="A110" s="104">
        <f t="shared" ca="1" si="20"/>
        <v>58.042179215570421</v>
      </c>
      <c r="B110" s="104">
        <f ca="1">IF(A110="","",SMALL(A74:A173,37))</f>
        <v>35.552936164648642</v>
      </c>
      <c r="C110" s="104">
        <f>'FALL 3'!C110</f>
        <v>37</v>
      </c>
      <c r="D110" s="104">
        <f ca="1">IF(C110=0,"",(B110*0.01*(K77-K78)+K78))</f>
        <v>35.841877398486403</v>
      </c>
      <c r="E110" s="104"/>
      <c r="F110" s="104">
        <f ca="1">IF(D110="","",((LN(D110/(100-D110)))-B50)/B51)</f>
        <v>22.395679232652299</v>
      </c>
      <c r="G110" s="104">
        <f t="shared" ca="1" si="22"/>
        <v>35.841877398486403</v>
      </c>
      <c r="H110" s="103" t="str">
        <f ca="1">IF(I176=C110,I110,"")</f>
        <v/>
      </c>
      <c r="I110" s="104">
        <f t="shared" ca="1" si="21"/>
        <v>22.4</v>
      </c>
      <c r="J110" s="104"/>
      <c r="K110" s="104"/>
      <c r="L110" s="104"/>
      <c r="M110" s="104"/>
      <c r="N110" s="104"/>
      <c r="O110" s="104"/>
      <c r="P110" s="104"/>
      <c r="Q110" s="104"/>
      <c r="R110" s="11"/>
      <c r="S110" s="11"/>
      <c r="T110" s="11"/>
      <c r="U110" s="11"/>
      <c r="V110" s="11"/>
    </row>
    <row r="111" spans="1:22" x14ac:dyDescent="0.3">
      <c r="A111" s="104">
        <f t="shared" ca="1" si="20"/>
        <v>64.875744940758082</v>
      </c>
      <c r="B111" s="104">
        <f ca="1">IF(A111="","",SMALL(A74:A173,38))</f>
        <v>36.085808218651522</v>
      </c>
      <c r="C111" s="104">
        <f>'FALL 3'!C111</f>
        <v>38</v>
      </c>
      <c r="D111" s="104">
        <f ca="1">(IF(C111=0,"",B111*0.01*(K77-K78)+K78))</f>
        <v>36.364092012990433</v>
      </c>
      <c r="E111" s="104"/>
      <c r="F111" s="104">
        <f ca="1">IF(D111="","",((LN(D111/(100-D111)))-B50)/B51)</f>
        <v>22.516377290046901</v>
      </c>
      <c r="G111" s="104">
        <f t="shared" ca="1" si="22"/>
        <v>36.364092012990433</v>
      </c>
      <c r="H111" s="103" t="str">
        <f ca="1">IF(I176=C111,I111,"")</f>
        <v/>
      </c>
      <c r="I111" s="104">
        <f t="shared" ca="1" si="21"/>
        <v>22.5</v>
      </c>
      <c r="J111" s="104"/>
      <c r="K111" s="104"/>
      <c r="L111" s="104"/>
      <c r="M111" s="104"/>
      <c r="N111" s="104"/>
      <c r="O111" s="104"/>
      <c r="P111" s="104"/>
      <c r="Q111" s="104"/>
      <c r="R111" s="11"/>
      <c r="S111" s="11"/>
      <c r="T111" s="11"/>
      <c r="U111" s="11"/>
      <c r="V111" s="11"/>
    </row>
    <row r="112" spans="1:22" x14ac:dyDescent="0.3">
      <c r="A112" s="104">
        <f t="shared" ca="1" si="20"/>
        <v>35.354597793628201</v>
      </c>
      <c r="B112" s="104">
        <f ca="1">IF(A112="","",SMALL(A74:A173,39))</f>
        <v>36.193906998441804</v>
      </c>
      <c r="C112" s="104">
        <f>'FALL 3'!C112</f>
        <v>39</v>
      </c>
      <c r="D112" s="104">
        <f ca="1">IF(C112=0,"",(B112*0.01*(K77-K78)+K78))</f>
        <v>36.470028817505678</v>
      </c>
      <c r="E112" s="104"/>
      <c r="F112" s="104">
        <f ca="1">IF(D112="","",((LN(D112/(100-D112)))-B50)/B51)</f>
        <v>22.540770605829881</v>
      </c>
      <c r="G112" s="104">
        <f t="shared" ca="1" si="22"/>
        <v>36.470028817505678</v>
      </c>
      <c r="H112" s="103" t="str">
        <f ca="1">IF(I176=C112,I112,"")</f>
        <v/>
      </c>
      <c r="I112" s="104">
        <f t="shared" ca="1" si="21"/>
        <v>22.5</v>
      </c>
      <c r="J112" s="104"/>
      <c r="K112" s="104"/>
      <c r="L112" s="104"/>
      <c r="M112" s="104"/>
      <c r="N112" s="104"/>
      <c r="O112" s="104"/>
      <c r="P112" s="104"/>
      <c r="Q112" s="104"/>
      <c r="R112" s="11"/>
      <c r="S112" s="11"/>
      <c r="T112" s="11"/>
      <c r="U112" s="11"/>
      <c r="V112" s="11"/>
    </row>
    <row r="113" spans="1:22" x14ac:dyDescent="0.3">
      <c r="A113" s="104">
        <f t="shared" ca="1" si="20"/>
        <v>22.345288991447891</v>
      </c>
      <c r="B113" s="104">
        <f ca="1">IF(A113="","",SMALL(A74:A173,40))</f>
        <v>36.832305770047988</v>
      </c>
      <c r="C113" s="104">
        <f>'FALL 3'!C113</f>
        <v>40</v>
      </c>
      <c r="D113" s="104">
        <f ca="1">IF(C113=0,"",(B113*0.01*(K77-K78)+K78))</f>
        <v>37.095659615574085</v>
      </c>
      <c r="E113" s="104"/>
      <c r="F113" s="104">
        <f ca="1">IF(D113="","",((LN(D113/(100-D113)))-B50)/B51)</f>
        <v>22.684225381052411</v>
      </c>
      <c r="G113" s="104">
        <f t="shared" ca="1" si="22"/>
        <v>37.095659615574085</v>
      </c>
      <c r="H113" s="103" t="str">
        <f ca="1">IF(I176=C113,I113,"")</f>
        <v/>
      </c>
      <c r="I113" s="104">
        <f t="shared" ca="1" si="21"/>
        <v>22.7</v>
      </c>
      <c r="J113" s="104"/>
      <c r="K113" s="104"/>
      <c r="L113" s="104"/>
      <c r="M113" s="104"/>
      <c r="N113" s="104"/>
      <c r="O113" s="104"/>
      <c r="P113" s="104"/>
      <c r="Q113" s="104"/>
      <c r="R113" s="11"/>
      <c r="S113" s="11"/>
      <c r="T113" s="11"/>
      <c r="U113" s="11"/>
      <c r="V113" s="11"/>
    </row>
    <row r="114" spans="1:22" x14ac:dyDescent="0.3">
      <c r="A114" s="104">
        <f t="shared" ca="1" si="20"/>
        <v>74.452341912460625</v>
      </c>
      <c r="B114" s="104">
        <f ca="1">IF(A114="","",SMALL(A74:A173,41))</f>
        <v>37.294995764716731</v>
      </c>
      <c r="C114" s="104">
        <f>'FALL 3'!C114</f>
        <v>41</v>
      </c>
      <c r="D114" s="104">
        <f ca="1">(IF(C114=0,"",B114*0.01*(K77-K78)+K78))</f>
        <v>37.549095811722403</v>
      </c>
      <c r="E114" s="104"/>
      <c r="F114" s="104">
        <f ca="1">IF(D114="","",((LN(D114/(100-D114)))-B50)/B51)</f>
        <v>22.787574707577267</v>
      </c>
      <c r="G114" s="104">
        <f t="shared" ca="1" si="22"/>
        <v>37.549095811722403</v>
      </c>
      <c r="H114" s="103" t="str">
        <f ca="1">IF(I176=C114,I114,"")</f>
        <v/>
      </c>
      <c r="I114" s="104">
        <f t="shared" ca="1" si="21"/>
        <v>22.8</v>
      </c>
      <c r="J114" s="104"/>
      <c r="K114" s="104"/>
      <c r="L114" s="104"/>
      <c r="M114" s="104"/>
      <c r="N114" s="104"/>
      <c r="O114" s="104"/>
      <c r="P114" s="104"/>
      <c r="Q114" s="104"/>
      <c r="R114" s="11"/>
      <c r="S114" s="11"/>
      <c r="T114" s="11"/>
      <c r="U114" s="11"/>
      <c r="V114" s="11"/>
    </row>
    <row r="115" spans="1:22" x14ac:dyDescent="0.3">
      <c r="A115" s="104">
        <f t="shared" ca="1" si="20"/>
        <v>85.722191857154883</v>
      </c>
      <c r="B115" s="104">
        <f ca="1">IF(A115="","",SMALL(A74:A173,42))</f>
        <v>37.423964583259938</v>
      </c>
      <c r="C115" s="104">
        <f>'FALL 3'!C115</f>
        <v>42</v>
      </c>
      <c r="D115" s="104">
        <f ca="1">IF(C115=0,"",(B115*0.01*(K77-K78)+K78))</f>
        <v>37.67548525427744</v>
      </c>
      <c r="E115" s="104"/>
      <c r="F115" s="104">
        <f ca="1">IF(D115="","",((LN(D115/(100-D115)))-B50)/B51)</f>
        <v>22.81629253048887</v>
      </c>
      <c r="G115" s="104">
        <f t="shared" ca="1" si="22"/>
        <v>37.67548525427744</v>
      </c>
      <c r="H115" s="103" t="str">
        <f ca="1">IF(I176=C115,I115,"")</f>
        <v/>
      </c>
      <c r="I115" s="104">
        <f t="shared" ca="1" si="21"/>
        <v>22.8</v>
      </c>
      <c r="J115" s="104"/>
      <c r="K115" s="104"/>
      <c r="L115" s="104"/>
      <c r="M115" s="104"/>
      <c r="N115" s="104"/>
      <c r="O115" s="104"/>
      <c r="P115" s="104"/>
      <c r="Q115" s="104"/>
      <c r="R115" s="11"/>
      <c r="S115" s="11"/>
      <c r="T115" s="11"/>
      <c r="U115" s="11"/>
      <c r="V115" s="11"/>
    </row>
    <row r="116" spans="1:22" x14ac:dyDescent="0.3">
      <c r="A116" s="104">
        <f t="shared" ca="1" si="20"/>
        <v>34.308282062269875</v>
      </c>
      <c r="B116" s="104">
        <f ca="1">IF(A116="","",SMALL(A74:A173,43))</f>
        <v>39.104232457172415</v>
      </c>
      <c r="C116" s="104">
        <f>'FALL 3'!C116</f>
        <v>43</v>
      </c>
      <c r="D116" s="104">
        <f ca="1">(IF(C116=0,"",B116*0.01*(K77-K78)+K78))</f>
        <v>39.322147775697587</v>
      </c>
      <c r="E116" s="104"/>
      <c r="F116" s="104">
        <f ca="1">IF(D116="","",((LN(D116/(100-D116)))-B50)/B51)</f>
        <v>23.187138610486354</v>
      </c>
      <c r="G116" s="104">
        <f t="shared" ca="1" si="22"/>
        <v>39.322147775697587</v>
      </c>
      <c r="H116" s="103" t="str">
        <f ca="1">IF(I176=C116,I116,"")</f>
        <v/>
      </c>
      <c r="I116" s="104">
        <f t="shared" ca="1" si="21"/>
        <v>23.2</v>
      </c>
      <c r="J116" s="104"/>
      <c r="K116" s="104"/>
      <c r="L116" s="104">
        <f ca="1">'FALL 6'!L116</f>
        <v>21.824999999999989</v>
      </c>
      <c r="M116" s="104">
        <f t="shared" ref="M116:M137" ca="1" si="23">I116</f>
        <v>23.2</v>
      </c>
      <c r="N116" s="104">
        <f t="shared" ref="N116:N138" ca="1" si="24">IF(M116="","",(M116^2))</f>
        <v>538.24</v>
      </c>
      <c r="O116" s="104" t="e">
        <f ca="1">IF(M116="","",(LN((((2*B46)/(L115+L185))-1)^-1)))</f>
        <v>#DIV/0!</v>
      </c>
      <c r="P116" s="104" t="e">
        <f t="shared" ref="P116:P138" ca="1" si="25">(IF(O116="","",O116^2))</f>
        <v>#DIV/0!</v>
      </c>
      <c r="Q116" s="104" t="e">
        <f t="shared" ref="Q116:Q138" ca="1" si="26">IF(M116="","",(M116*O116))</f>
        <v>#DIV/0!</v>
      </c>
      <c r="R116" s="11">
        <f t="shared" ref="R116:R138" ca="1" si="27">IF(M116="","",ROUND(M116,0))</f>
        <v>23</v>
      </c>
      <c r="S116" s="11">
        <f t="shared" ref="S116:S138" ca="1" si="28">IF(M116="","",(R116^2))</f>
        <v>529</v>
      </c>
      <c r="T116" s="11" t="e">
        <f t="shared" ref="T116:U153" ca="1" si="29">O116</f>
        <v>#DIV/0!</v>
      </c>
      <c r="U116" s="11" t="e">
        <f t="shared" ca="1" si="29"/>
        <v>#DIV/0!</v>
      </c>
      <c r="V116" s="11" t="e">
        <f t="shared" ref="V116:V138" ca="1" si="30">IF(M116="","",(R116*T116))</f>
        <v>#DIV/0!</v>
      </c>
    </row>
    <row r="117" spans="1:22" x14ac:dyDescent="0.3">
      <c r="A117" s="104">
        <f t="shared" ca="1" si="20"/>
        <v>10.590646378296471</v>
      </c>
      <c r="B117" s="104">
        <f ca="1">IF(A117="","",SMALL(A74:A173,44))</f>
        <v>40.682467531002196</v>
      </c>
      <c r="C117" s="104">
        <f>'FALL 3'!C117</f>
        <v>44</v>
      </c>
      <c r="D117" s="104">
        <f ca="1">IF(C117=0,"",(B117*0.01*(K77-K78)+K78))</f>
        <v>40.86881815273393</v>
      </c>
      <c r="E117" s="104"/>
      <c r="F117" s="104">
        <f ca="1">IF(D117="","",((LN(D117/(100-D117)))-B50)/B51)</f>
        <v>23.530501942076047</v>
      </c>
      <c r="G117" s="104">
        <f t="shared" ca="1" si="22"/>
        <v>40.86881815273393</v>
      </c>
      <c r="H117" s="103" t="str">
        <f ca="1">IF(I176=C117,I117,"")</f>
        <v/>
      </c>
      <c r="I117" s="104">
        <f t="shared" ca="1" si="21"/>
        <v>23.5</v>
      </c>
      <c r="J117" s="104"/>
      <c r="K117" s="104"/>
      <c r="L117" s="104">
        <f ca="1">'FALL 6'!L117</f>
        <v>22.314999999999987</v>
      </c>
      <c r="M117" s="104">
        <f t="shared" ca="1" si="23"/>
        <v>23.5</v>
      </c>
      <c r="N117" s="104">
        <f t="shared" ca="1" si="24"/>
        <v>552.25</v>
      </c>
      <c r="O117" s="104">
        <f ca="1">IF(M117="","",(LN((((2*B46)/(L116+L185))-1)^-1)))</f>
        <v>-0.29025607644695223</v>
      </c>
      <c r="P117" s="104">
        <f t="shared" ca="1" si="25"/>
        <v>8.4248589914378974E-2</v>
      </c>
      <c r="Q117" s="104">
        <f t="shared" ca="1" si="26"/>
        <v>-6.8210177965033774</v>
      </c>
      <c r="R117" s="11">
        <f t="shared" ca="1" si="27"/>
        <v>24</v>
      </c>
      <c r="S117" s="11">
        <f t="shared" ca="1" si="28"/>
        <v>576</v>
      </c>
      <c r="T117" s="11">
        <f t="shared" ca="1" si="29"/>
        <v>-0.29025607644695223</v>
      </c>
      <c r="U117" s="11">
        <f t="shared" ca="1" si="29"/>
        <v>8.4248589914378974E-2</v>
      </c>
      <c r="V117" s="11">
        <f t="shared" ca="1" si="30"/>
        <v>-6.9661458347268539</v>
      </c>
    </row>
    <row r="118" spans="1:22" x14ac:dyDescent="0.3">
      <c r="A118" s="104">
        <f t="shared" ca="1" si="20"/>
        <v>74.617657989152889</v>
      </c>
      <c r="B118" s="104">
        <f ca="1">IF(A118="","",SMALL(A74:A173,45))</f>
        <v>40.897380354326266</v>
      </c>
      <c r="C118" s="104">
        <f>'FALL 3'!C118</f>
        <v>45</v>
      </c>
      <c r="D118" s="104">
        <f ca="1">IF(C118=0,"",(B118*0.01*(K77-K78)+K78))</f>
        <v>41.079432720229235</v>
      </c>
      <c r="E118" s="104"/>
      <c r="F118" s="104">
        <f ca="1">IF(D118="","",((LN(D118/(100-D118)))-B50)/B51)</f>
        <v>23.576932752448926</v>
      </c>
      <c r="G118" s="104">
        <f t="shared" ca="1" si="22"/>
        <v>41.079432720229235</v>
      </c>
      <c r="H118" s="103" t="str">
        <f ca="1">IF(I176=C118,I118,"")</f>
        <v/>
      </c>
      <c r="I118" s="104">
        <f t="shared" ca="1" si="21"/>
        <v>23.6</v>
      </c>
      <c r="J118" s="104"/>
      <c r="K118" s="104"/>
      <c r="L118" s="104">
        <f ca="1">'FALL 6'!L118</f>
        <v>22.804999999999986</v>
      </c>
      <c r="M118" s="104">
        <f t="shared" ca="1" si="23"/>
        <v>23.6</v>
      </c>
      <c r="N118" s="104">
        <f t="shared" ca="1" si="24"/>
        <v>556.96</v>
      </c>
      <c r="O118" s="104">
        <f ca="1">IF(M118="","",(LN((((2*B46)/(L117+L185))-1)^-1)))</f>
        <v>-0.2511152399725996</v>
      </c>
      <c r="P118" s="104">
        <f t="shared" ca="1" si="25"/>
        <v>6.3058863746496288E-2</v>
      </c>
      <c r="Q118" s="104">
        <f t="shared" ca="1" si="26"/>
        <v>-5.9263196633533513</v>
      </c>
      <c r="R118" s="11">
        <f t="shared" ca="1" si="27"/>
        <v>24</v>
      </c>
      <c r="S118" s="11">
        <f t="shared" ca="1" si="28"/>
        <v>576</v>
      </c>
      <c r="T118" s="11">
        <f t="shared" ca="1" si="29"/>
        <v>-0.2511152399725996</v>
      </c>
      <c r="U118" s="11">
        <f t="shared" ca="1" si="29"/>
        <v>6.3058863746496288E-2</v>
      </c>
      <c r="V118" s="11">
        <f t="shared" ca="1" si="30"/>
        <v>-6.0267657593423909</v>
      </c>
    </row>
    <row r="119" spans="1:22" x14ac:dyDescent="0.3">
      <c r="A119" s="104">
        <f t="shared" ca="1" si="20"/>
        <v>7.9792581830077429</v>
      </c>
      <c r="B119" s="104">
        <f ca="1">IF(A119="","",SMALL(A74:A173,46))</f>
        <v>41.426657122161828</v>
      </c>
      <c r="C119" s="104">
        <f>'FALL 3'!C119</f>
        <v>46</v>
      </c>
      <c r="D119" s="104">
        <f ca="1">IF(C119=0,"",(B119*0.01*(K77-K78)+K78))</f>
        <v>41.598123954278627</v>
      </c>
      <c r="E119" s="104"/>
      <c r="F119" s="104">
        <f ca="1">IF(D119="","",((LN(D119/(100-D119)))-B50)/B51)</f>
        <v>23.690977137139097</v>
      </c>
      <c r="G119" s="104">
        <f t="shared" ca="1" si="22"/>
        <v>41.598123954278627</v>
      </c>
      <c r="H119" s="103" t="str">
        <f ca="1">IF(I176=C119,I119,"")</f>
        <v/>
      </c>
      <c r="I119" s="104">
        <f t="shared" ca="1" si="21"/>
        <v>23.7</v>
      </c>
      <c r="J119" s="104"/>
      <c r="K119" s="104"/>
      <c r="L119" s="104">
        <f ca="1">'FALL 6'!L119</f>
        <v>23.294999999999984</v>
      </c>
      <c r="M119" s="104">
        <f t="shared" ca="1" si="23"/>
        <v>23.7</v>
      </c>
      <c r="N119" s="104">
        <f t="shared" ca="1" si="24"/>
        <v>561.68999999999994</v>
      </c>
      <c r="O119" s="104">
        <f ca="1">IF(M119="","",(LN((((2*B46)/(L118+L185))-1)^-1)))</f>
        <v>-0.21216484709548017</v>
      </c>
      <c r="P119" s="104">
        <f t="shared" ca="1" si="25"/>
        <v>4.5013922343048483E-2</v>
      </c>
      <c r="Q119" s="104">
        <f t="shared" ca="1" si="26"/>
        <v>-5.0283068761628797</v>
      </c>
      <c r="R119" s="11">
        <f t="shared" ca="1" si="27"/>
        <v>24</v>
      </c>
      <c r="S119" s="11">
        <f t="shared" ca="1" si="28"/>
        <v>576</v>
      </c>
      <c r="T119" s="11">
        <f t="shared" ca="1" si="29"/>
        <v>-0.21216484709548017</v>
      </c>
      <c r="U119" s="11">
        <f t="shared" ca="1" si="29"/>
        <v>4.5013922343048483E-2</v>
      </c>
      <c r="V119" s="11">
        <f t="shared" ca="1" si="30"/>
        <v>-5.0919563302915236</v>
      </c>
    </row>
    <row r="120" spans="1:22" x14ac:dyDescent="0.3">
      <c r="A120" s="104">
        <f t="shared" ca="1" si="20"/>
        <v>72.079522922149621</v>
      </c>
      <c r="B120" s="104">
        <f ca="1">IF(A120="","",SMALL(A74:A173,47))</f>
        <v>43.535452326884517</v>
      </c>
      <c r="C120" s="104">
        <f>'FALL 3'!C120</f>
        <v>47</v>
      </c>
      <c r="D120" s="104">
        <f ca="1">(IF(C120=0,"",B120*0.01*(K77-K78)+K78))</f>
        <v>43.664743261164361</v>
      </c>
      <c r="E120" s="104"/>
      <c r="F120" s="104">
        <f ca="1">IF(D120="","",((LN(D120/(100-D120)))-B50)/B51)</f>
        <v>24.141580681248577</v>
      </c>
      <c r="G120" s="104">
        <f t="shared" ca="1" si="22"/>
        <v>43.664743261164361</v>
      </c>
      <c r="H120" s="103" t="str">
        <f ca="1">IF(I176=C120,I120,"")</f>
        <v/>
      </c>
      <c r="I120" s="104">
        <f t="shared" ca="1" si="21"/>
        <v>24.1</v>
      </c>
      <c r="J120" s="104"/>
      <c r="K120" s="104"/>
      <c r="L120" s="104">
        <f ca="1">'FALL 6'!L120</f>
        <v>23.784999999999982</v>
      </c>
      <c r="M120" s="104">
        <f t="shared" ca="1" si="23"/>
        <v>24.1</v>
      </c>
      <c r="N120" s="104">
        <f t="shared" ca="1" si="24"/>
        <v>580.81000000000006</v>
      </c>
      <c r="O120" s="104">
        <f ca="1">IF(M120="","",(LN((((2*B46)/(L119+L2185))-1)^-1)))</f>
        <v>-0.17337415705055156</v>
      </c>
      <c r="P120" s="104">
        <f t="shared" ca="1" si="25"/>
        <v>3.0058598332989319E-2</v>
      </c>
      <c r="Q120" s="104">
        <f t="shared" ca="1" si="26"/>
        <v>-4.178317184918293</v>
      </c>
      <c r="R120" s="11">
        <f t="shared" ca="1" si="27"/>
        <v>24</v>
      </c>
      <c r="S120" s="11">
        <f t="shared" ca="1" si="28"/>
        <v>576</v>
      </c>
      <c r="T120" s="11">
        <f t="shared" ca="1" si="29"/>
        <v>-0.17337415705055156</v>
      </c>
      <c r="U120" s="11">
        <f t="shared" ca="1" si="29"/>
        <v>3.0058598332989319E-2</v>
      </c>
      <c r="V120" s="11">
        <f t="shared" ca="1" si="30"/>
        <v>-4.1609797692132373</v>
      </c>
    </row>
    <row r="121" spans="1:22" x14ac:dyDescent="0.3">
      <c r="A121" s="104">
        <f t="shared" ca="1" si="20"/>
        <v>52.825156828067023</v>
      </c>
      <c r="B121" s="104">
        <f ca="1">IF(A121="","",SMALL(A74:A173,48))</f>
        <v>44.435181782015576</v>
      </c>
      <c r="C121" s="104">
        <f>'FALL 3'!C121</f>
        <v>48</v>
      </c>
      <c r="D121" s="104">
        <f ca="1">IF(C121=0,"",(B121*0.01*(K77-K78)+K78))</f>
        <v>44.546478129862599</v>
      </c>
      <c r="E121" s="104"/>
      <c r="F121" s="104">
        <f ca="1">IF(D121="","",((LN(D121/(100-D121)))-B50)/B51)</f>
        <v>24.332283558109829</v>
      </c>
      <c r="G121" s="104">
        <f t="shared" ca="1" si="22"/>
        <v>44.546478129862599</v>
      </c>
      <c r="H121" s="103" t="str">
        <f ca="1">IF(I176=C121,I121,"")</f>
        <v/>
      </c>
      <c r="I121" s="104">
        <f t="shared" ca="1" si="21"/>
        <v>24.3</v>
      </c>
      <c r="J121" s="104"/>
      <c r="K121" s="104"/>
      <c r="L121" s="104">
        <f ca="1">'FALL 6'!L121</f>
        <v>24.274999999999981</v>
      </c>
      <c r="M121" s="104">
        <f t="shared" ca="1" si="23"/>
        <v>24.3</v>
      </c>
      <c r="N121" s="104">
        <f t="shared" ca="1" si="24"/>
        <v>590.49</v>
      </c>
      <c r="O121" s="104">
        <f ca="1">IF(M121="","",(LN((((2*B46)/(L120+L185))-1)^-1)))</f>
        <v>-0.13471316200191749</v>
      </c>
      <c r="P121" s="104">
        <f t="shared" ca="1" si="25"/>
        <v>1.8147636016554867E-2</v>
      </c>
      <c r="Q121" s="104">
        <f t="shared" ca="1" si="26"/>
        <v>-3.273529836646595</v>
      </c>
      <c r="R121" s="11">
        <f t="shared" ca="1" si="27"/>
        <v>24</v>
      </c>
      <c r="S121" s="11">
        <f t="shared" ca="1" si="28"/>
        <v>576</v>
      </c>
      <c r="T121" s="11">
        <f t="shared" ca="1" si="29"/>
        <v>-0.13471316200191749</v>
      </c>
      <c r="U121" s="11">
        <f t="shared" ca="1" si="29"/>
        <v>1.8147636016554867E-2</v>
      </c>
      <c r="V121" s="11">
        <f t="shared" ca="1" si="30"/>
        <v>-3.2331158880460196</v>
      </c>
    </row>
    <row r="122" spans="1:22" x14ac:dyDescent="0.3">
      <c r="A122" s="104">
        <f t="shared" ca="1" si="20"/>
        <v>95.728191869047748</v>
      </c>
      <c r="B122" s="104">
        <f ca="1">IF(A122="","",SMALL(A74:A173,49))</f>
        <v>45.331371863332258</v>
      </c>
      <c r="C122" s="104">
        <f>'FALL 3'!C122</f>
        <v>49</v>
      </c>
      <c r="D122" s="104">
        <f ca="1">IF(C122=0,"",(B122*0.01*(K77-K78)+K78))</f>
        <v>45.424744412212242</v>
      </c>
      <c r="E122" s="104"/>
      <c r="F122" s="104">
        <f ca="1">IF(D122="","",((LN(D122/(100-D122)))-B50)/B51)</f>
        <v>24.521499296934152</v>
      </c>
      <c r="G122" s="104">
        <f t="shared" ca="1" si="22"/>
        <v>45.424744412212242</v>
      </c>
      <c r="H122" s="103" t="str">
        <f ca="1">IF(I176=C122,I122,"")</f>
        <v/>
      </c>
      <c r="I122" s="104">
        <f t="shared" ca="1" si="21"/>
        <v>24.5</v>
      </c>
      <c r="J122" s="104"/>
      <c r="K122" s="104"/>
      <c r="L122" s="104">
        <f ca="1">'FALL 6'!L122</f>
        <v>24.764999999999979</v>
      </c>
      <c r="M122" s="104">
        <f t="shared" ca="1" si="23"/>
        <v>24.5</v>
      </c>
      <c r="N122" s="104">
        <f t="shared" ca="1" si="24"/>
        <v>600.25</v>
      </c>
      <c r="O122" s="104">
        <f ca="1">IF(M122="","",(LN((((2*B46)/(L121+L185))-1)^-1)))</f>
        <v>-9.6152442733718951E-2</v>
      </c>
      <c r="P122" s="104">
        <f t="shared" ca="1" si="25"/>
        <v>9.2452922436611022E-3</v>
      </c>
      <c r="Q122" s="104">
        <f t="shared" ca="1" si="26"/>
        <v>-2.3557348469761141</v>
      </c>
      <c r="R122" s="11">
        <f t="shared" ca="1" si="27"/>
        <v>25</v>
      </c>
      <c r="S122" s="11">
        <f t="shared" ca="1" si="28"/>
        <v>625</v>
      </c>
      <c r="T122" s="11">
        <f t="shared" ca="1" si="29"/>
        <v>-9.6152442733718951E-2</v>
      </c>
      <c r="U122" s="11">
        <f t="shared" ca="1" si="29"/>
        <v>9.2452922436611022E-3</v>
      </c>
      <c r="V122" s="11">
        <f t="shared" ca="1" si="30"/>
        <v>-2.4038110683429736</v>
      </c>
    </row>
    <row r="123" spans="1:22" x14ac:dyDescent="0.3">
      <c r="A123" s="104">
        <f t="shared" ca="1" si="20"/>
        <v>13.19425429109878</v>
      </c>
      <c r="B123" s="104">
        <f ca="1">IF(A123="","",SMALL(A74:A173,50))</f>
        <v>45.334163788069013</v>
      </c>
      <c r="C123" s="104">
        <f>'FALL 3'!C123</f>
        <v>50</v>
      </c>
      <c r="D123" s="104">
        <f ca="1">(IF(C123=0,"",B123*0.01*(K77-K78)+K78))</f>
        <v>45.42748049846255</v>
      </c>
      <c r="E123" s="104"/>
      <c r="F123" s="104">
        <f ca="1">IF(D123="","",((LN(D123/(100-D123)))-B50)/B51)</f>
        <v>24.522087745552458</v>
      </c>
      <c r="G123" s="104">
        <f t="shared" ca="1" si="22"/>
        <v>45.42748049846255</v>
      </c>
      <c r="H123" s="103" t="str">
        <f ca="1">IF(I176=C123,I123,"")</f>
        <v/>
      </c>
      <c r="I123" s="104">
        <f t="shared" ca="1" si="21"/>
        <v>24.5</v>
      </c>
      <c r="J123" s="104"/>
      <c r="K123" s="104"/>
      <c r="L123" s="104">
        <f ca="1">'FALL 6'!L123</f>
        <v>25.254999999999978</v>
      </c>
      <c r="M123" s="104">
        <f t="shared" ca="1" si="23"/>
        <v>24.5</v>
      </c>
      <c r="N123" s="104">
        <f t="shared" ca="1" si="24"/>
        <v>600.25</v>
      </c>
      <c r="O123" s="104">
        <f ca="1">IF(M123="","",(LN((((2*B46)/(L122+L185))-1)^-1)))</f>
        <v>-5.7663031098472858E-2</v>
      </c>
      <c r="P123" s="104">
        <f t="shared" ca="1" si="25"/>
        <v>3.3250251554634478E-3</v>
      </c>
      <c r="Q123" s="104">
        <f t="shared" ca="1" si="26"/>
        <v>-1.412744261912585</v>
      </c>
      <c r="R123" s="11">
        <f t="shared" ca="1" si="27"/>
        <v>25</v>
      </c>
      <c r="S123" s="11">
        <f t="shared" ca="1" si="28"/>
        <v>625</v>
      </c>
      <c r="T123" s="11">
        <f t="shared" ca="1" si="29"/>
        <v>-5.7663031098472858E-2</v>
      </c>
      <c r="U123" s="11">
        <f t="shared" ca="1" si="29"/>
        <v>3.3250251554634478E-3</v>
      </c>
      <c r="V123" s="11">
        <f t="shared" ca="1" si="30"/>
        <v>-1.4415757774618214</v>
      </c>
    </row>
    <row r="124" spans="1:22" x14ac:dyDescent="0.3">
      <c r="A124" s="104">
        <f t="shared" ca="1" si="20"/>
        <v>57.977484256183445</v>
      </c>
      <c r="B124" s="104">
        <f ca="1">IF(A124="","",SMALL(A74:A173,51))</f>
        <v>46.655921692387203</v>
      </c>
      <c r="C124" s="104">
        <f>'FALL 3'!C124</f>
        <v>51</v>
      </c>
      <c r="D124" s="104">
        <f ca="1">IF(C124=0,"",(B124*0.01*(K77-K78)+K78))</f>
        <v>46.722803248616472</v>
      </c>
      <c r="E124" s="104"/>
      <c r="F124" s="104">
        <f ca="1">IF(D124="","",((LN(D124/(100-D124)))-B50)/B51)</f>
        <v>24.80006968212421</v>
      </c>
      <c r="G124" s="104">
        <f t="shared" ca="1" si="22"/>
        <v>46.722803248616472</v>
      </c>
      <c r="H124" s="103" t="str">
        <f ca="1">IF(I176=C124,I124,"")</f>
        <v/>
      </c>
      <c r="I124" s="104">
        <f t="shared" ca="1" si="21"/>
        <v>24.8</v>
      </c>
      <c r="J124" s="104"/>
      <c r="K124" s="104"/>
      <c r="L124" s="104">
        <f ca="1">'FALL 6'!L124</f>
        <v>25.744999999999976</v>
      </c>
      <c r="M124" s="104">
        <f t="shared" ca="1" si="23"/>
        <v>24.8</v>
      </c>
      <c r="N124" s="104">
        <f t="shared" ca="1" si="24"/>
        <v>615.04000000000008</v>
      </c>
      <c r="O124" s="104">
        <f ca="1">IF(M124="","",(LN((((2*B46)/(L123+L185))-1)^-1)))</f>
        <v>-1.92162775780877E-2</v>
      </c>
      <c r="P124" s="104">
        <f t="shared" ca="1" si="25"/>
        <v>3.6926532395811605E-4</v>
      </c>
      <c r="Q124" s="104">
        <f t="shared" ca="1" si="26"/>
        <v>-0.47656368393657494</v>
      </c>
      <c r="R124" s="11">
        <f t="shared" ca="1" si="27"/>
        <v>25</v>
      </c>
      <c r="S124" s="11">
        <f t="shared" ca="1" si="28"/>
        <v>625</v>
      </c>
      <c r="T124" s="11">
        <f t="shared" ca="1" si="29"/>
        <v>-1.92162775780877E-2</v>
      </c>
      <c r="U124" s="11">
        <f t="shared" ca="1" si="29"/>
        <v>3.6926532395811605E-4</v>
      </c>
      <c r="V124" s="11">
        <f t="shared" ca="1" si="30"/>
        <v>-0.48040693945219248</v>
      </c>
    </row>
    <row r="125" spans="1:22" x14ac:dyDescent="0.3">
      <c r="A125" s="104">
        <f t="shared" ca="1" si="20"/>
        <v>81.350390940045671</v>
      </c>
      <c r="B125" s="104">
        <f ca="1">IF(A125="","",SMALL(A74:A173,52))</f>
        <v>51.207805360416671</v>
      </c>
      <c r="C125" s="104">
        <f>'FALL 3'!C125</f>
        <v>52</v>
      </c>
      <c r="D125" s="104">
        <f ca="1">IF(C125=0,"",(B125*0.01*(K77-K78)+K78))</f>
        <v>51.183649256792314</v>
      </c>
      <c r="E125" s="104"/>
      <c r="F125" s="104">
        <f ca="1">IF(D125="","",((LN(D125/(100-D125)))-B50)/B51)</f>
        <v>25.752483728839952</v>
      </c>
      <c r="G125" s="104">
        <f t="shared" ca="1" si="22"/>
        <v>51.183649256792314</v>
      </c>
      <c r="H125" s="103" t="str">
        <f ca="1">IF(I176=C125,I125,"")</f>
        <v/>
      </c>
      <c r="I125" s="104">
        <f t="shared" ca="1" si="21"/>
        <v>25.8</v>
      </c>
      <c r="J125" s="104"/>
      <c r="K125" s="104"/>
      <c r="L125" s="104">
        <f ca="1">'FALL 6'!L125</f>
        <v>26.234999999999975</v>
      </c>
      <c r="M125" s="104">
        <f t="shared" ca="1" si="23"/>
        <v>25.8</v>
      </c>
      <c r="N125" s="104">
        <f t="shared" ca="1" si="24"/>
        <v>665.64</v>
      </c>
      <c r="O125" s="104">
        <f ca="1">IF(M125="","",(LN((((2*B46)/(L124+L185))-1)^-1)))</f>
        <v>1.9216277578089844E-2</v>
      </c>
      <c r="P125" s="104">
        <f t="shared" ca="1" si="25"/>
        <v>3.6926532395819845E-4</v>
      </c>
      <c r="Q125" s="104">
        <f t="shared" ca="1" si="26"/>
        <v>0.49577996151471798</v>
      </c>
      <c r="R125" s="11">
        <f t="shared" ca="1" si="27"/>
        <v>26</v>
      </c>
      <c r="S125" s="11">
        <f t="shared" ca="1" si="28"/>
        <v>676</v>
      </c>
      <c r="T125" s="11">
        <f t="shared" ca="1" si="29"/>
        <v>1.9216277578089844E-2</v>
      </c>
      <c r="U125" s="11">
        <f t="shared" ca="1" si="29"/>
        <v>3.6926532395819845E-4</v>
      </c>
      <c r="V125" s="11">
        <f t="shared" ca="1" si="30"/>
        <v>0.49962321703033596</v>
      </c>
    </row>
    <row r="126" spans="1:22" x14ac:dyDescent="0.3">
      <c r="A126" s="104">
        <f t="shared" ca="1" si="20"/>
        <v>88.570761326036276</v>
      </c>
      <c r="B126" s="104">
        <f ca="1">IF(A126="","",SMALL(A74:A173,53))</f>
        <v>51.412461309324222</v>
      </c>
      <c r="C126" s="104">
        <f>'FALL 3'!C126</f>
        <v>53</v>
      </c>
      <c r="D126" s="104">
        <f ca="1">IF(C126=0,"",(B126*0.01*(K77-K78)+K78))</f>
        <v>51.384212087328997</v>
      </c>
      <c r="E126" s="104"/>
      <c r="F126" s="104">
        <f ca="1">IF(D126="","",((LN(D126/(100-D126)))-B50)/B51)</f>
        <v>25.795285990458606</v>
      </c>
      <c r="G126" s="104">
        <f t="shared" ca="1" si="22"/>
        <v>51.384212087328997</v>
      </c>
      <c r="H126" s="103" t="str">
        <f ca="1">IF(I176=C126,I126,"")</f>
        <v/>
      </c>
      <c r="I126" s="104">
        <f t="shared" ca="1" si="21"/>
        <v>25.8</v>
      </c>
      <c r="J126" s="104"/>
      <c r="K126" s="104"/>
      <c r="L126" s="104">
        <f ca="1">'FALL 6'!L126</f>
        <v>26.724999999999973</v>
      </c>
      <c r="M126" s="104">
        <f t="shared" ca="1" si="23"/>
        <v>25.8</v>
      </c>
      <c r="N126" s="104">
        <f t="shared" ca="1" si="24"/>
        <v>665.64</v>
      </c>
      <c r="O126" s="104">
        <f ca="1">IF(M126="","",(LN((((2*B46)/(L125+L185))-1)^-1)))</f>
        <v>5.7663031098474961E-2</v>
      </c>
      <c r="P126" s="104">
        <f t="shared" ca="1" si="25"/>
        <v>3.3250251554636906E-3</v>
      </c>
      <c r="Q126" s="104">
        <f t="shared" ca="1" si="26"/>
        <v>1.487706202340654</v>
      </c>
      <c r="R126" s="11">
        <f t="shared" ca="1" si="27"/>
        <v>26</v>
      </c>
      <c r="S126" s="11">
        <f t="shared" ca="1" si="28"/>
        <v>676</v>
      </c>
      <c r="T126" s="11">
        <f t="shared" ca="1" si="29"/>
        <v>5.7663031098474961E-2</v>
      </c>
      <c r="U126" s="11">
        <f t="shared" ca="1" si="29"/>
        <v>3.3250251554636906E-3</v>
      </c>
      <c r="V126" s="11">
        <f t="shared" ca="1" si="30"/>
        <v>1.499238808560349</v>
      </c>
    </row>
    <row r="127" spans="1:22" x14ac:dyDescent="0.3">
      <c r="A127" s="104">
        <f t="shared" ca="1" si="20"/>
        <v>11.451447911748893</v>
      </c>
      <c r="B127" s="104">
        <f ca="1">IF(A127="","",SMALL(A74:A173,54))</f>
        <v>51.762110484040875</v>
      </c>
      <c r="C127" s="104">
        <f>'FALL 3'!C127</f>
        <v>54</v>
      </c>
      <c r="D127" s="104">
        <f ca="1">(IF(C127=0,"",B127*0.01*(K77-K78)+K78))</f>
        <v>51.726868279588849</v>
      </c>
      <c r="E127" s="104"/>
      <c r="F127" s="104">
        <f ca="1">IF(D127="","",((LN(D127/(100-D127)))-B50)/B51)</f>
        <v>25.868435271216676</v>
      </c>
      <c r="G127" s="104">
        <f t="shared" ca="1" si="22"/>
        <v>51.726868279588849</v>
      </c>
      <c r="H127" s="103" t="str">
        <f ca="1">IF(I176=C127,I127,"")</f>
        <v/>
      </c>
      <c r="I127" s="104">
        <f t="shared" ca="1" si="21"/>
        <v>25.9</v>
      </c>
      <c r="J127" s="104"/>
      <c r="K127" s="104"/>
      <c r="L127" s="104">
        <f ca="1">'FALL 6'!L127</f>
        <v>27.214999999999971</v>
      </c>
      <c r="M127" s="104">
        <f t="shared" ca="1" si="23"/>
        <v>25.9</v>
      </c>
      <c r="N127" s="104">
        <f t="shared" ca="1" si="24"/>
        <v>670.81</v>
      </c>
      <c r="O127" s="104">
        <f ca="1">IF(M127="","",(LN((((2*B46)/(L126+L185))-1)^-1)))</f>
        <v>9.6152442733721213E-2</v>
      </c>
      <c r="P127" s="104">
        <f t="shared" ca="1" si="25"/>
        <v>9.2452922436615376E-3</v>
      </c>
      <c r="Q127" s="104">
        <f t="shared" ca="1" si="26"/>
        <v>2.4903482668033794</v>
      </c>
      <c r="R127" s="11">
        <f t="shared" ca="1" si="27"/>
        <v>26</v>
      </c>
      <c r="S127" s="11">
        <f t="shared" ca="1" si="28"/>
        <v>676</v>
      </c>
      <c r="T127" s="11">
        <f t="shared" ca="1" si="29"/>
        <v>9.6152442733721213E-2</v>
      </c>
      <c r="U127" s="11">
        <f t="shared" ca="1" si="29"/>
        <v>9.2452922436615376E-3</v>
      </c>
      <c r="V127" s="11">
        <f t="shared" ca="1" si="30"/>
        <v>2.4999635110767517</v>
      </c>
    </row>
    <row r="128" spans="1:22" x14ac:dyDescent="0.3">
      <c r="A128" s="104">
        <f t="shared" ca="1" si="20"/>
        <v>21.396155641621537</v>
      </c>
      <c r="B128" s="104">
        <f ca="1">IF(A128="","",SMALL(A74:A173,55))</f>
        <v>52.259230292799771</v>
      </c>
      <c r="C128" s="104">
        <f>'FALL 3'!C128</f>
        <v>55</v>
      </c>
      <c r="D128" s="104">
        <f ca="1">IF(C128=0,"",(B128*0.01*(K77-K78)+K78))</f>
        <v>52.214045693647684</v>
      </c>
      <c r="E128" s="104"/>
      <c r="F128" s="104">
        <f ca="1">IF(D128="","",((LN(D128/(100-D128)))-B50)/B51)</f>
        <v>25.972497912639181</v>
      </c>
      <c r="G128" s="104">
        <f t="shared" ca="1" si="22"/>
        <v>52.214045693647684</v>
      </c>
      <c r="H128" s="103" t="str">
        <f ca="1">IF(I176=C128,I128,"")</f>
        <v/>
      </c>
      <c r="I128" s="104">
        <f t="shared" ca="1" si="21"/>
        <v>26</v>
      </c>
      <c r="J128" s="104"/>
      <c r="K128" s="104"/>
      <c r="L128" s="104">
        <f ca="1">'FALL 6'!L128</f>
        <v>27.70499999999997</v>
      </c>
      <c r="M128" s="104">
        <f t="shared" ca="1" si="23"/>
        <v>26</v>
      </c>
      <c r="N128" s="104">
        <f t="shared" ca="1" si="24"/>
        <v>676</v>
      </c>
      <c r="O128" s="104">
        <f ca="1">IF(M128="","",(LN((((2*B46)/(L127+L185))-1)^-1)))</f>
        <v>0.13471316200191938</v>
      </c>
      <c r="P128" s="104">
        <f t="shared" ca="1" si="25"/>
        <v>1.8147636016555377E-2</v>
      </c>
      <c r="Q128" s="104">
        <f t="shared" ca="1" si="26"/>
        <v>3.5025422120499039</v>
      </c>
      <c r="R128" s="11">
        <f t="shared" ca="1" si="27"/>
        <v>26</v>
      </c>
      <c r="S128" s="11">
        <f t="shared" ca="1" si="28"/>
        <v>676</v>
      </c>
      <c r="T128" s="11">
        <f t="shared" ca="1" si="29"/>
        <v>0.13471316200191938</v>
      </c>
      <c r="U128" s="11">
        <f t="shared" ca="1" si="29"/>
        <v>1.8147636016555377E-2</v>
      </c>
      <c r="V128" s="11">
        <f t="shared" ca="1" si="30"/>
        <v>3.5025422120499039</v>
      </c>
    </row>
    <row r="129" spans="1:22" x14ac:dyDescent="0.3">
      <c r="A129" s="104">
        <f t="shared" ca="1" si="20"/>
        <v>11.269954713260011</v>
      </c>
      <c r="B129" s="104">
        <f ca="1">IF(A129="","",SMALL(A74:A173,56))</f>
        <v>52.825156828067023</v>
      </c>
      <c r="C129" s="104">
        <f>'FALL 3'!C129</f>
        <v>56</v>
      </c>
      <c r="D129" s="104">
        <f ca="1">IF(C129=0,"",(B129*0.01*(K77-K78)+K78))</f>
        <v>52.76865369988888</v>
      </c>
      <c r="E129" s="104"/>
      <c r="F129" s="104">
        <f ca="1">IF(D129="","",((LN(D129/(100-D129)))-B50)/B51)</f>
        <v>26.091074633963458</v>
      </c>
      <c r="G129" s="104">
        <f t="shared" ca="1" si="22"/>
        <v>52.76865369988888</v>
      </c>
      <c r="H129" s="103" t="str">
        <f ca="1">IF(I176=C129,I129,"")</f>
        <v/>
      </c>
      <c r="I129" s="104">
        <f t="shared" ca="1" si="21"/>
        <v>26.1</v>
      </c>
      <c r="J129" s="104"/>
      <c r="K129" s="104"/>
      <c r="L129" s="104">
        <f ca="1">'FALL 6'!L129</f>
        <v>28.194999999999968</v>
      </c>
      <c r="M129" s="104">
        <f t="shared" ca="1" si="23"/>
        <v>26.1</v>
      </c>
      <c r="N129" s="104">
        <f t="shared" ca="1" si="24"/>
        <v>681.21</v>
      </c>
      <c r="O129" s="104">
        <f ca="1">IF(M129="","",(LN((((2*B46)/(L128+L185))-1)^-1)))</f>
        <v>0.17337415705055359</v>
      </c>
      <c r="P129" s="104">
        <f t="shared" ca="1" si="25"/>
        <v>3.005859833299002E-2</v>
      </c>
      <c r="Q129" s="104">
        <f t="shared" ca="1" si="26"/>
        <v>4.5250654990194485</v>
      </c>
      <c r="R129" s="11">
        <f t="shared" ca="1" si="27"/>
        <v>26</v>
      </c>
      <c r="S129" s="11">
        <f t="shared" ca="1" si="28"/>
        <v>676</v>
      </c>
      <c r="T129" s="11">
        <f t="shared" ca="1" si="29"/>
        <v>0.17337415705055359</v>
      </c>
      <c r="U129" s="11">
        <f t="shared" ca="1" si="29"/>
        <v>3.005859833299002E-2</v>
      </c>
      <c r="V129" s="11">
        <f t="shared" ca="1" si="30"/>
        <v>4.5077280833143938</v>
      </c>
    </row>
    <row r="130" spans="1:22" x14ac:dyDescent="0.3">
      <c r="A130" s="104">
        <f t="shared" ca="1" si="20"/>
        <v>71.098211631190992</v>
      </c>
      <c r="B130" s="104">
        <f ca="1">IF(A130="","",SMALL(A74:A173,57))</f>
        <v>54.895501547011705</v>
      </c>
      <c r="C130" s="104">
        <f>'FALL 3'!C130</f>
        <v>57</v>
      </c>
      <c r="D130" s="104">
        <f ca="1">IF(C130=0,"",(B130*0.01*(K77-K78)+K78))</f>
        <v>54.797591530598076</v>
      </c>
      <c r="E130" s="104"/>
      <c r="F130" s="104">
        <f ca="1">IF(D130="","",((LN(D130/(100-D130)))-B50)/B51)</f>
        <v>26.526338567997882</v>
      </c>
      <c r="G130" s="104">
        <f t="shared" ca="1" si="22"/>
        <v>54.797591530598076</v>
      </c>
      <c r="H130" s="103" t="str">
        <f ca="1">IF(I176=C130,I130,"")</f>
        <v/>
      </c>
      <c r="I130" s="104">
        <f t="shared" ca="1" si="21"/>
        <v>26.5</v>
      </c>
      <c r="J130" s="104"/>
      <c r="K130" s="104"/>
      <c r="L130" s="104">
        <f ca="1">'FALL 6'!L130</f>
        <v>28.684999999999967</v>
      </c>
      <c r="M130" s="104">
        <f t="shared" ca="1" si="23"/>
        <v>26.5</v>
      </c>
      <c r="N130" s="104">
        <f t="shared" ca="1" si="24"/>
        <v>702.25</v>
      </c>
      <c r="O130" s="104">
        <f ca="1">IF(M130="","",(LN((((2*B46)/(L129+L185))-1)^-1)))</f>
        <v>0.21216484709548239</v>
      </c>
      <c r="P130" s="104">
        <f t="shared" ca="1" si="25"/>
        <v>4.501392234304942E-2</v>
      </c>
      <c r="Q130" s="104">
        <f t="shared" ca="1" si="26"/>
        <v>5.6223684480302829</v>
      </c>
      <c r="R130" s="11">
        <f t="shared" ca="1" si="27"/>
        <v>27</v>
      </c>
      <c r="S130" s="11">
        <f t="shared" ca="1" si="28"/>
        <v>729</v>
      </c>
      <c r="T130" s="11">
        <f t="shared" ca="1" si="29"/>
        <v>0.21216484709548239</v>
      </c>
      <c r="U130" s="11">
        <f t="shared" ca="1" si="29"/>
        <v>4.501392234304942E-2</v>
      </c>
      <c r="V130" s="11">
        <f t="shared" ca="1" si="30"/>
        <v>5.7284508715780245</v>
      </c>
    </row>
    <row r="131" spans="1:22" x14ac:dyDescent="0.3">
      <c r="A131" s="104">
        <f t="shared" ca="1" si="20"/>
        <v>40.682467531002196</v>
      </c>
      <c r="B131" s="104">
        <f ca="1">IF(A131="","",SMALL(A74:A173,58))</f>
        <v>55.637290178441866</v>
      </c>
      <c r="C131" s="104">
        <f>'FALL 3'!C131</f>
        <v>58</v>
      </c>
      <c r="D131" s="104">
        <f ca="1">(IF(C131=0,"",B131*0.01*(K77-K78)+K78))</f>
        <v>55.52454439160077</v>
      </c>
      <c r="E131" s="104"/>
      <c r="F131" s="104">
        <f ca="1">IF(D131="","",((LN(D131/(100-D131)))-B50)/B51)</f>
        <v>26.68304817341183</v>
      </c>
      <c r="G131" s="104">
        <f t="shared" ca="1" si="22"/>
        <v>55.52454439160077</v>
      </c>
      <c r="H131" s="103" t="str">
        <f ca="1">IF(I176=C131,I131,"")</f>
        <v/>
      </c>
      <c r="I131" s="104">
        <f t="shared" ca="1" si="21"/>
        <v>26.7</v>
      </c>
      <c r="J131" s="104"/>
      <c r="K131" s="104"/>
      <c r="L131" s="104">
        <f ca="1">'FALL 6'!L131</f>
        <v>29.174999999999965</v>
      </c>
      <c r="M131" s="104">
        <f t="shared" ca="1" si="23"/>
        <v>26.7</v>
      </c>
      <c r="N131" s="104">
        <f t="shared" ca="1" si="24"/>
        <v>712.89</v>
      </c>
      <c r="O131" s="104">
        <f ca="1">IF(M131="","",(LN((((2*B46)/(L130+L185))-1)^-1)))</f>
        <v>0.25111523997260171</v>
      </c>
      <c r="P131" s="104">
        <f t="shared" ca="1" si="25"/>
        <v>6.3058863746497343E-2</v>
      </c>
      <c r="Q131" s="104">
        <f t="shared" ca="1" si="26"/>
        <v>6.7047769072684655</v>
      </c>
      <c r="R131" s="11">
        <f t="shared" ca="1" si="27"/>
        <v>27</v>
      </c>
      <c r="S131" s="11">
        <f t="shared" ca="1" si="28"/>
        <v>729</v>
      </c>
      <c r="T131" s="11">
        <f t="shared" ca="1" si="29"/>
        <v>0.25111523997260171</v>
      </c>
      <c r="U131" s="11">
        <f t="shared" ca="1" si="29"/>
        <v>6.3058863746497343E-2</v>
      </c>
      <c r="V131" s="11">
        <f t="shared" ca="1" si="30"/>
        <v>6.7801114792602464</v>
      </c>
    </row>
    <row r="132" spans="1:22" x14ac:dyDescent="0.3">
      <c r="A132" s="104">
        <f t="shared" ca="1" si="20"/>
        <v>18.864727548323515</v>
      </c>
      <c r="B132" s="104">
        <f ca="1">IF(A132="","",SMALL(A74:A173,59))</f>
        <v>57.607414709814392</v>
      </c>
      <c r="C132" s="104">
        <f>'FALL 3'!C132</f>
        <v>59</v>
      </c>
      <c r="D132" s="104">
        <f ca="1">IF(C132=0,"",(B132*0.01*(K77-K78)+K78))</f>
        <v>57.45526643819187</v>
      </c>
      <c r="E132" s="104"/>
      <c r="F132" s="104">
        <f ca="1">IF(D132="","",((LN(D132/(100-D132)))-B50)/B51)</f>
        <v>27.101925419748202</v>
      </c>
      <c r="G132" s="104">
        <f t="shared" ca="1" si="22"/>
        <v>57.45526643819187</v>
      </c>
      <c r="H132" s="103" t="str">
        <f ca="1">IF(I176=C132,I132,"")</f>
        <v/>
      </c>
      <c r="I132" s="104">
        <f t="shared" ca="1" si="21"/>
        <v>27.1</v>
      </c>
      <c r="J132" s="104"/>
      <c r="K132" s="104"/>
      <c r="L132" s="104">
        <f ca="1">'FALL 6'!L132</f>
        <v>29.664999999999964</v>
      </c>
      <c r="M132" s="104">
        <f t="shared" ca="1" si="23"/>
        <v>27.1</v>
      </c>
      <c r="N132" s="104">
        <f t="shared" ca="1" si="24"/>
        <v>734.41000000000008</v>
      </c>
      <c r="O132" s="104">
        <f ca="1">IF(M132="","",(LN((((2*B46)/(L131+L185))-1)^-1)))</f>
        <v>0.29025607644695423</v>
      </c>
      <c r="P132" s="104">
        <f t="shared" ca="1" si="25"/>
        <v>8.424858991438014E-2</v>
      </c>
      <c r="Q132" s="104">
        <f t="shared" ca="1" si="26"/>
        <v>7.8659396717124599</v>
      </c>
      <c r="R132" s="11">
        <f t="shared" ca="1" si="27"/>
        <v>27</v>
      </c>
      <c r="S132" s="11">
        <f t="shared" ca="1" si="28"/>
        <v>729</v>
      </c>
      <c r="T132" s="11">
        <f t="shared" ca="1" si="29"/>
        <v>0.29025607644695423</v>
      </c>
      <c r="U132" s="11">
        <f t="shared" ca="1" si="29"/>
        <v>8.424858991438014E-2</v>
      </c>
      <c r="V132" s="11">
        <f t="shared" ca="1" si="30"/>
        <v>7.8369140640677637</v>
      </c>
    </row>
    <row r="133" spans="1:22" x14ac:dyDescent="0.3">
      <c r="A133" s="104">
        <f t="shared" ca="1" si="20"/>
        <v>51.762110484040875</v>
      </c>
      <c r="B133" s="104">
        <f ca="1">IF(A133="","",SMALL(A74:A173,60))</f>
        <v>57.977484256183445</v>
      </c>
      <c r="C133" s="104">
        <f>'FALL 3'!C133</f>
        <v>60</v>
      </c>
      <c r="D133" s="104">
        <f ca="1">IF(C133=0,"",(B133*0.01*(K77-K78)+K78))</f>
        <v>57.817934594731661</v>
      </c>
      <c r="E133" s="104"/>
      <c r="F133" s="104">
        <f ca="1">IF(D133="","",((LN(D133/(100-D133)))-B50)/B51)</f>
        <v>27.181119300785266</v>
      </c>
      <c r="G133" s="104">
        <f t="shared" ca="1" si="22"/>
        <v>57.817934594731661</v>
      </c>
      <c r="H133" s="103" t="str">
        <f ca="1">IF(I176=C133,I133,"")</f>
        <v/>
      </c>
      <c r="I133" s="104">
        <f t="shared" ca="1" si="21"/>
        <v>27.2</v>
      </c>
      <c r="J133" s="104"/>
      <c r="K133" s="104"/>
      <c r="L133" s="104">
        <f ca="1">'FALL 6'!L133</f>
        <v>30.154999999999962</v>
      </c>
      <c r="M133" s="104">
        <f t="shared" ca="1" si="23"/>
        <v>27.2</v>
      </c>
      <c r="N133" s="104">
        <f t="shared" ca="1" si="24"/>
        <v>739.83999999999992</v>
      </c>
      <c r="O133" s="104">
        <f ca="1">IF(M133="","",(LN((((2*B46)/(L132+L185))-1)^-1)))</f>
        <v>0.32961898307064369</v>
      </c>
      <c r="P133" s="104">
        <f t="shared" ca="1" si="25"/>
        <v>0.10864867400052529</v>
      </c>
      <c r="Q133" s="104">
        <f t="shared" ca="1" si="26"/>
        <v>8.9656363395215077</v>
      </c>
      <c r="R133" s="11">
        <f t="shared" ca="1" si="27"/>
        <v>27</v>
      </c>
      <c r="S133" s="11">
        <f t="shared" ca="1" si="28"/>
        <v>729</v>
      </c>
      <c r="T133" s="11">
        <f t="shared" ca="1" si="29"/>
        <v>0.32961898307064369</v>
      </c>
      <c r="U133" s="11">
        <f t="shared" ca="1" si="29"/>
        <v>0.10864867400052529</v>
      </c>
      <c r="V133" s="11">
        <f t="shared" ca="1" si="30"/>
        <v>8.8997125429073805</v>
      </c>
    </row>
    <row r="134" spans="1:22" x14ac:dyDescent="0.3">
      <c r="A134" s="104">
        <f t="shared" ca="1" si="20"/>
        <v>35.552936164648642</v>
      </c>
      <c r="B134" s="104">
        <f ca="1">IF(A134="","",SMALL(A74:A173,61))</f>
        <v>58.042179215570421</v>
      </c>
      <c r="C134" s="104">
        <f>'FALL 3'!C134</f>
        <v>61</v>
      </c>
      <c r="D134" s="104">
        <f ca="1">IF(C134=0,"",(B134*0.01*(K77-K78)+K78))</f>
        <v>57.881335655122868</v>
      </c>
      <c r="E134" s="104"/>
      <c r="F134" s="104">
        <f ca="1">IF(D134="","",((LN(D134/(100-D134)))-B50)/B51)</f>
        <v>27.194982512375034</v>
      </c>
      <c r="G134" s="104">
        <f t="shared" ca="1" si="22"/>
        <v>57.881335655122868</v>
      </c>
      <c r="H134" s="103" t="str">
        <f ca="1">IF(I176=C134,I134,"")</f>
        <v/>
      </c>
      <c r="I134" s="104">
        <f t="shared" ca="1" si="21"/>
        <v>27.2</v>
      </c>
      <c r="J134" s="104"/>
      <c r="K134" s="104"/>
      <c r="L134" s="104">
        <f ca="1">'FALL 6'!L134</f>
        <v>30.64499999999996</v>
      </c>
      <c r="M134" s="104">
        <f t="shared" ca="1" si="23"/>
        <v>27.2</v>
      </c>
      <c r="N134" s="104">
        <f t="shared" ca="1" si="24"/>
        <v>739.83999999999992</v>
      </c>
      <c r="O134" s="104">
        <f ca="1">IF(M134="","",(LN((((2*B46)/(L133+L185))-1)^-1)))</f>
        <v>0.36923663557019004</v>
      </c>
      <c r="P134" s="104">
        <f t="shared" ca="1" si="25"/>
        <v>0.13633569304719334</v>
      </c>
      <c r="Q134" s="104">
        <f t="shared" ca="1" si="26"/>
        <v>10.043236487509169</v>
      </c>
      <c r="R134" s="11">
        <f t="shared" ca="1" si="27"/>
        <v>27</v>
      </c>
      <c r="S134" s="11">
        <f t="shared" ca="1" si="28"/>
        <v>729</v>
      </c>
      <c r="T134" s="11">
        <f t="shared" ca="1" si="29"/>
        <v>0.36923663557019004</v>
      </c>
      <c r="U134" s="11">
        <f t="shared" ca="1" si="29"/>
        <v>0.13633569304719334</v>
      </c>
      <c r="V134" s="11">
        <f t="shared" ca="1" si="30"/>
        <v>9.9693891603951315</v>
      </c>
    </row>
    <row r="135" spans="1:22" x14ac:dyDescent="0.3">
      <c r="A135" s="104">
        <f t="shared" ca="1" si="20"/>
        <v>29.274281274651297</v>
      </c>
      <c r="B135" s="104">
        <f ca="1">IF(A135="","",SMALL(A74:A173,62))</f>
        <v>58.150933152521191</v>
      </c>
      <c r="C135" s="104">
        <f>'FALL 3'!C135</f>
        <v>62</v>
      </c>
      <c r="D135" s="104">
        <f ca="1">(IF(C135=0,"",B135*0.01*(K77-K78)+K78))</f>
        <v>57.98791451365733</v>
      </c>
      <c r="E135" s="104"/>
      <c r="F135" s="104">
        <f ca="1">IF(D135="","",((LN(D135/(100-D135)))-B50)/B51)</f>
        <v>27.21829977224542</v>
      </c>
      <c r="G135" s="104">
        <f t="shared" ca="1" si="22"/>
        <v>57.98791451365733</v>
      </c>
      <c r="H135" s="103" t="str">
        <f ca="1">IF(I176=C135,I135,"")</f>
        <v/>
      </c>
      <c r="I135" s="104">
        <f t="shared" ca="1" si="21"/>
        <v>27.2</v>
      </c>
      <c r="J135" s="104"/>
      <c r="K135" s="104"/>
      <c r="L135" s="104">
        <f ca="1">'FALL 6'!L135</f>
        <v>31.134999999999959</v>
      </c>
      <c r="M135" s="104">
        <f t="shared" ca="1" si="23"/>
        <v>27.2</v>
      </c>
      <c r="N135" s="104">
        <f t="shared" ca="1" si="24"/>
        <v>739.83999999999992</v>
      </c>
      <c r="O135" s="104">
        <f ca="1">IF(M135="","",(LN((((2*B46)/(L134+L185))-1)^-1)))</f>
        <v>0.40914293498275334</v>
      </c>
      <c r="P135" s="104">
        <f t="shared" ca="1" si="25"/>
        <v>0.16739794124630153</v>
      </c>
      <c r="Q135" s="104">
        <f t="shared" ca="1" si="26"/>
        <v>11.12868783153089</v>
      </c>
      <c r="R135" s="11">
        <f t="shared" ca="1" si="27"/>
        <v>27</v>
      </c>
      <c r="S135" s="11">
        <f t="shared" ca="1" si="28"/>
        <v>729</v>
      </c>
      <c r="T135" s="11">
        <f t="shared" ca="1" si="29"/>
        <v>0.40914293498275334</v>
      </c>
      <c r="U135" s="11">
        <f t="shared" ca="1" si="29"/>
        <v>0.16739794124630153</v>
      </c>
      <c r="V135" s="11">
        <f t="shared" ca="1" si="30"/>
        <v>11.046859244534341</v>
      </c>
    </row>
    <row r="136" spans="1:22" x14ac:dyDescent="0.3">
      <c r="A136" s="104">
        <f t="shared" ca="1" si="20"/>
        <v>58.283257995791963</v>
      </c>
      <c r="B136" s="104">
        <f ca="1">IF(A136="","",SMALL(A74:A173,63))</f>
        <v>58.283257995791963</v>
      </c>
      <c r="C136" s="104">
        <f>'FALL 3'!C136</f>
        <v>63</v>
      </c>
      <c r="D136" s="104">
        <f ca="1">IF(C136=0,"",(B136*0.01*(K77-K78)+K78))</f>
        <v>58.117592860455339</v>
      </c>
      <c r="E136" s="104"/>
      <c r="F136" s="104">
        <f ca="1">IF(D136="","",((LN(D136/(100-D136)))-B50)/B51)</f>
        <v>27.246692733361087</v>
      </c>
      <c r="G136" s="104">
        <f t="shared" ca="1" si="22"/>
        <v>58.117592860455339</v>
      </c>
      <c r="H136" s="103" t="str">
        <f ca="1">IF(I176=C136,I136,"")</f>
        <v/>
      </c>
      <c r="I136" s="104">
        <f t="shared" ca="1" si="21"/>
        <v>27.2</v>
      </c>
      <c r="J136" s="104"/>
      <c r="K136" s="104"/>
      <c r="L136" s="104">
        <f ca="1">'FALL 6'!L136</f>
        <v>31.624999999999957</v>
      </c>
      <c r="M136" s="104">
        <f t="shared" ca="1" si="23"/>
        <v>27.2</v>
      </c>
      <c r="N136" s="104">
        <f t="shared" ca="1" si="24"/>
        <v>739.83999999999992</v>
      </c>
      <c r="O136" s="104">
        <f ca="1">IF(M136="","",(LN((((2*B46)/(L135+L185))-1)^-1)))</f>
        <v>0.449373199057853</v>
      </c>
      <c r="P136" s="104">
        <f t="shared" ca="1" si="25"/>
        <v>0.20193627203148878</v>
      </c>
      <c r="Q136" s="104">
        <f t="shared" ca="1" si="26"/>
        <v>12.222951014373601</v>
      </c>
      <c r="R136" s="11">
        <f t="shared" ca="1" si="27"/>
        <v>27</v>
      </c>
      <c r="S136" s="11">
        <f t="shared" ca="1" si="28"/>
        <v>729</v>
      </c>
      <c r="T136" s="11">
        <f t="shared" ca="1" si="29"/>
        <v>0.449373199057853</v>
      </c>
      <c r="U136" s="11">
        <f t="shared" ca="1" si="29"/>
        <v>0.20193627203148878</v>
      </c>
      <c r="V136" s="11">
        <f t="shared" ca="1" si="30"/>
        <v>12.13307637456203</v>
      </c>
    </row>
    <row r="137" spans="1:22" x14ac:dyDescent="0.3">
      <c r="A137" s="104">
        <f t="shared" ca="1" si="20"/>
        <v>78.962041119769069</v>
      </c>
      <c r="B137" s="104">
        <f ca="1">IF(A137="","",SMALL(A74:A173,64))</f>
        <v>61.504914120920546</v>
      </c>
      <c r="C137" s="104">
        <f>'FALL 3'!C137</f>
        <v>64</v>
      </c>
      <c r="D137" s="104">
        <f ca="1">IF(C137=0,"",(B137*0.01*(K77-K78)+K78))</f>
        <v>61.274815872641092</v>
      </c>
      <c r="E137" s="104"/>
      <c r="F137" s="104">
        <f ca="1">IF(D137="","",((LN(D137/(100-D137)))-B50)/B51)</f>
        <v>27.946623851898156</v>
      </c>
      <c r="G137" s="104">
        <f t="shared" ca="1" si="22"/>
        <v>61.274815872641092</v>
      </c>
      <c r="H137" s="103" t="str">
        <f ca="1">IF(I176=C137,I137,"")</f>
        <v/>
      </c>
      <c r="I137" s="104">
        <f t="shared" ca="1" si="21"/>
        <v>27.9</v>
      </c>
      <c r="J137" s="104"/>
      <c r="K137" s="104"/>
      <c r="L137" s="104">
        <f ca="1">'FALL 6'!L137</f>
        <v>32.114999999999959</v>
      </c>
      <c r="M137" s="104">
        <f t="shared" ca="1" si="23"/>
        <v>27.9</v>
      </c>
      <c r="N137" s="104">
        <f t="shared" ca="1" si="24"/>
        <v>778.41</v>
      </c>
      <c r="O137" s="104">
        <f ca="1">IF(M137="","",(LN((((2*B46)/(L136+L185))-1)^-1)))</f>
        <v>0.48996437180827362</v>
      </c>
      <c r="P137" s="104">
        <f t="shared" ca="1" si="25"/>
        <v>0.24006508564147619</v>
      </c>
      <c r="Q137" s="104">
        <f t="shared" ca="1" si="26"/>
        <v>13.670005973450833</v>
      </c>
      <c r="R137" s="11">
        <f t="shared" ca="1" si="27"/>
        <v>28</v>
      </c>
      <c r="S137" s="11">
        <f t="shared" ca="1" si="28"/>
        <v>784</v>
      </c>
      <c r="T137" s="11">
        <f t="shared" ca="1" si="29"/>
        <v>0.48996437180827362</v>
      </c>
      <c r="U137" s="11">
        <f t="shared" ca="1" si="29"/>
        <v>0.24006508564147619</v>
      </c>
      <c r="V137" s="11">
        <f t="shared" ca="1" si="30"/>
        <v>13.719002410631662</v>
      </c>
    </row>
    <row r="138" spans="1:22" x14ac:dyDescent="0.3">
      <c r="A138" s="104">
        <f t="shared" ca="1" si="20"/>
        <v>83.133725546370826</v>
      </c>
      <c r="B138" s="104">
        <f ca="1">IF(A138="","",SMALL(A74:A173,65))</f>
        <v>61.583617321348065</v>
      </c>
      <c r="C138" s="104">
        <f>'FALL 3'!C138</f>
        <v>65</v>
      </c>
      <c r="D138" s="104">
        <f ca="1">IF(C138=0,"",(B138*0.01*(K77-K78)+K78))</f>
        <v>61.351945009293587</v>
      </c>
      <c r="E138" s="104"/>
      <c r="F138" s="104">
        <f ca="1">IF(D138="","",((LN(D138/(100-D138)))-B50)/B51)</f>
        <v>27.963960764654598</v>
      </c>
      <c r="G138" s="104">
        <f t="shared" ref="G138:G173" ca="1" si="31">D138</f>
        <v>61.351945009293587</v>
      </c>
      <c r="H138" s="103" t="str">
        <f ca="1">IF(I176=C138,I138,"")</f>
        <v/>
      </c>
      <c r="I138" s="104">
        <f t="shared" ca="1" si="21"/>
        <v>28</v>
      </c>
      <c r="J138" s="104"/>
      <c r="K138" s="104"/>
      <c r="L138" s="104">
        <f ca="1">'FALL 6'!L138</f>
        <v>32.604999999999961</v>
      </c>
      <c r="M138" s="104">
        <f t="shared" ref="M138:M173" ca="1" si="32">I138</f>
        <v>28</v>
      </c>
      <c r="N138" s="104">
        <f t="shared" ca="1" si="24"/>
        <v>784</v>
      </c>
      <c r="O138" s="104">
        <f ca="1">IF(M138="","",(LN((((2*B46)/(L137+L185))-1)^-1)))</f>
        <v>0.5309552545453361</v>
      </c>
      <c r="P138" s="104">
        <f t="shared" ca="1" si="25"/>
        <v>0.28191348232930263</v>
      </c>
      <c r="Q138" s="104">
        <f t="shared" ca="1" si="26"/>
        <v>14.866747127269411</v>
      </c>
      <c r="R138" s="11">
        <f t="shared" ca="1" si="27"/>
        <v>28</v>
      </c>
      <c r="S138" s="11">
        <f t="shared" ca="1" si="28"/>
        <v>784</v>
      </c>
      <c r="T138" s="11">
        <f t="shared" ca="1" si="29"/>
        <v>0.5309552545453361</v>
      </c>
      <c r="U138" s="11">
        <f t="shared" ca="1" si="29"/>
        <v>0.28191348232930263</v>
      </c>
      <c r="V138" s="11">
        <f t="shared" ca="1" si="30"/>
        <v>14.866747127269411</v>
      </c>
    </row>
    <row r="139" spans="1:22" x14ac:dyDescent="0.3">
      <c r="A139" s="104">
        <f t="shared" ref="A139:A173" ca="1" si="33">IF(C139=0,"",RAND()*(99-1)+1)</f>
        <v>36.193906998441804</v>
      </c>
      <c r="B139" s="104">
        <f ca="1">IF(A139="","",SMALL(A74:A173,66))</f>
        <v>62.928122864171847</v>
      </c>
      <c r="C139" s="104">
        <f>'FALL 3'!C139</f>
        <v>66</v>
      </c>
      <c r="D139" s="104">
        <f ca="1">IF(C139=0,"",(B139*0.01*(K77-K78)+K78))</f>
        <v>62.669560445250504</v>
      </c>
      <c r="E139" s="104"/>
      <c r="F139" s="104">
        <f ca="1">IF(D139="","",((LN(D139/(100-D139)))-B50)/B51)</f>
        <v>28.262199066959898</v>
      </c>
      <c r="G139" s="104">
        <f t="shared" ca="1" si="31"/>
        <v>62.669560445250504</v>
      </c>
      <c r="H139" s="103" t="str">
        <f>IF(176=C139,I139,"")</f>
        <v/>
      </c>
      <c r="I139" s="104">
        <f t="shared" ref="I139:I173" ca="1" si="34">IF(F139="","",ROUND(F139,1))</f>
        <v>28.3</v>
      </c>
      <c r="J139" s="104"/>
      <c r="K139" s="104"/>
      <c r="L139" s="104">
        <f ca="1">'FALL 6'!L139</f>
        <v>33.094999999999963</v>
      </c>
      <c r="M139" s="104">
        <f t="shared" ca="1" si="32"/>
        <v>28.3</v>
      </c>
      <c r="N139" s="104">
        <f t="shared" ref="N139:N173" ca="1" si="35">IF(M139="","",(M139^2))</f>
        <v>800.89</v>
      </c>
      <c r="O139" s="104">
        <f ca="1">IF(M139="","",(LN((((2*B46)/(L138+L185))-1)^-1)))</f>
        <v>0.57238676228842844</v>
      </c>
      <c r="P139" s="104">
        <f t="shared" ref="P139:P173" ca="1" si="36">(IF(O139="","",O139^2))</f>
        <v>0.32762660564302987</v>
      </c>
      <c r="Q139" s="104">
        <f t="shared" ref="Q139:Q172" ca="1" si="37">IF(M139="","",(M139*O139))</f>
        <v>16.198545372762524</v>
      </c>
      <c r="R139" s="11">
        <f t="shared" ref="R139:R173" ca="1" si="38">IF(M139="","",ROUND(M139,0))</f>
        <v>28</v>
      </c>
      <c r="S139" s="11">
        <f t="shared" ref="S139:S173" ca="1" si="39">IF(M139="","",(R139^2))</f>
        <v>784</v>
      </c>
      <c r="T139" s="11">
        <f t="shared" ca="1" si="29"/>
        <v>0.57238676228842844</v>
      </c>
      <c r="U139" s="11">
        <f t="shared" ca="1" si="29"/>
        <v>0.32762660564302987</v>
      </c>
      <c r="V139" s="11">
        <f t="shared" ref="V139:V173" ca="1" si="40">IF(M139="","",(R139*T139))</f>
        <v>16.026829344075995</v>
      </c>
    </row>
    <row r="140" spans="1:22" x14ac:dyDescent="0.3">
      <c r="A140" s="104">
        <f t="shared" ca="1" si="33"/>
        <v>70.44604804479178</v>
      </c>
      <c r="B140" s="104">
        <f ca="1">IF(A140="","",SMALL(A74:A173,67))</f>
        <v>63.754889762037593</v>
      </c>
      <c r="C140" s="104">
        <f>'FALL 3'!C140</f>
        <v>67</v>
      </c>
      <c r="D140" s="104">
        <f ca="1">IF(C140=0,"",(B140*0.01*(K77-K78)+K78))</f>
        <v>63.479792007612225</v>
      </c>
      <c r="E140" s="104"/>
      <c r="F140" s="104">
        <f ca="1">IF(D140="","",((LN(D140/(100-D140)))-B50)/B51)</f>
        <v>28.447685538005508</v>
      </c>
      <c r="G140" s="104">
        <f t="shared" ca="1" si="31"/>
        <v>63.479792007612225</v>
      </c>
      <c r="H140" s="103" t="str">
        <f ca="1">IF(I176=C140,I140,"")</f>
        <v/>
      </c>
      <c r="I140" s="104">
        <f t="shared" ca="1" si="34"/>
        <v>28.4</v>
      </c>
      <c r="J140" s="104"/>
      <c r="K140" s="104"/>
      <c r="L140" s="104">
        <f ca="1">'FALL 6'!L140</f>
        <v>33.584999999999965</v>
      </c>
      <c r="M140" s="104">
        <f t="shared" ca="1" si="32"/>
        <v>28.4</v>
      </c>
      <c r="N140" s="104">
        <f t="shared" ca="1" si="35"/>
        <v>806.56</v>
      </c>
      <c r="O140" s="104">
        <f ca="1">IF(M140="","",(LN((((2*B46)/(L139+L185))-1)^-1)))</f>
        <v>0.61430221012049102</v>
      </c>
      <c r="P140" s="104">
        <f t="shared" ca="1" si="36"/>
        <v>0.37736720535891988</v>
      </c>
      <c r="Q140" s="104">
        <f t="shared" ca="1" si="37"/>
        <v>17.446182767421945</v>
      </c>
      <c r="R140" s="11">
        <f t="shared" ca="1" si="38"/>
        <v>28</v>
      </c>
      <c r="S140" s="11">
        <f t="shared" ca="1" si="39"/>
        <v>784</v>
      </c>
      <c r="T140" s="11">
        <f t="shared" ca="1" si="29"/>
        <v>0.61430221012049102</v>
      </c>
      <c r="U140" s="11">
        <f t="shared" ca="1" si="29"/>
        <v>0.37736720535891988</v>
      </c>
      <c r="V140" s="11">
        <f t="shared" ca="1" si="40"/>
        <v>17.200461883373748</v>
      </c>
    </row>
    <row r="141" spans="1:22" x14ac:dyDescent="0.3">
      <c r="A141" s="104">
        <f t="shared" ca="1" si="33"/>
        <v>30.969706283227712</v>
      </c>
      <c r="B141" s="104">
        <f ca="1">IF(A141="","",SMALL(A74:A173,68))</f>
        <v>64.375521753109211</v>
      </c>
      <c r="C141" s="104">
        <f>'FALL 3'!C141</f>
        <v>68</v>
      </c>
      <c r="D141" s="104">
        <f ca="1">(IF(C141=0,"",B141*0.01*(K77-K78)+K78))</f>
        <v>64.08801136070403</v>
      </c>
      <c r="E141" s="104"/>
      <c r="F141" s="104">
        <f ca="1">IF(D141="","",((LN(D141/(100-D141)))-B50)/B51)</f>
        <v>28.588071739301149</v>
      </c>
      <c r="G141" s="104">
        <f t="shared" ca="1" si="31"/>
        <v>64.08801136070403</v>
      </c>
      <c r="H141" s="103" t="str">
        <f ca="1">IF(I176=C141,I141,"")</f>
        <v/>
      </c>
      <c r="I141" s="104">
        <f t="shared" ca="1" si="34"/>
        <v>28.6</v>
      </c>
      <c r="J141" s="104"/>
      <c r="K141" s="104"/>
      <c r="L141" s="104">
        <f ca="1">'FALL 6'!L141</f>
        <v>34.074999999999967</v>
      </c>
      <c r="M141" s="104">
        <f t="shared" ca="1" si="32"/>
        <v>28.6</v>
      </c>
      <c r="N141" s="104">
        <f t="shared" ca="1" si="35"/>
        <v>817.96</v>
      </c>
      <c r="O141" s="104">
        <f ca="1">IF(M141="","",(LN((((2*B46)/(L140+L185))-1)^-1)))</f>
        <v>0.65674763490086463</v>
      </c>
      <c r="P141" s="104">
        <f t="shared" ca="1" si="36"/>
        <v>0.4313174559478794</v>
      </c>
      <c r="Q141" s="104">
        <f t="shared" ca="1" si="37"/>
        <v>18.78298235816473</v>
      </c>
      <c r="R141" s="11">
        <f t="shared" ca="1" si="38"/>
        <v>29</v>
      </c>
      <c r="S141" s="11">
        <f t="shared" ca="1" si="39"/>
        <v>841</v>
      </c>
      <c r="T141" s="11">
        <f t="shared" ca="1" si="29"/>
        <v>0.65674763490086463</v>
      </c>
      <c r="U141" s="11">
        <f t="shared" ca="1" si="29"/>
        <v>0.4313174559478794</v>
      </c>
      <c r="V141" s="11">
        <f t="shared" ca="1" si="40"/>
        <v>19.045681412125074</v>
      </c>
    </row>
    <row r="142" spans="1:22" x14ac:dyDescent="0.3">
      <c r="A142" s="104">
        <f t="shared" ca="1" si="33"/>
        <v>4.1152642037168237</v>
      </c>
      <c r="B142" s="104">
        <f ca="1">IF(A142="","",SMALL(A74:A173,69))</f>
        <v>64.875744940758082</v>
      </c>
      <c r="C142" s="104">
        <f>'FALL 3'!C142</f>
        <v>69</v>
      </c>
      <c r="D142" s="104">
        <f ca="1">(IF(C142=0,"",B142*0.01*(K77-K78)+K78))</f>
        <v>64.578230086084261</v>
      </c>
      <c r="E142" s="104"/>
      <c r="F142" s="104">
        <f ca="1">IF(D142="","",((LN(D142/(100-D142)))-B50)/B51)</f>
        <v>28.701982444520105</v>
      </c>
      <c r="G142" s="104">
        <f t="shared" ca="1" si="31"/>
        <v>64.578230086084261</v>
      </c>
      <c r="H142" s="103" t="str">
        <f ca="1">IF(I176=C142,I142,"")</f>
        <v/>
      </c>
      <c r="I142" s="104">
        <f t="shared" ca="1" si="34"/>
        <v>28.7</v>
      </c>
      <c r="J142" s="104"/>
      <c r="K142" s="104"/>
      <c r="L142" s="104">
        <f ca="1">'FALL 6'!L142</f>
        <v>34.564999999999969</v>
      </c>
      <c r="M142" s="104">
        <f t="shared" ca="1" si="32"/>
        <v>28.7</v>
      </c>
      <c r="N142" s="104">
        <f t="shared" ca="1" si="35"/>
        <v>823.68999999999994</v>
      </c>
      <c r="O142" s="104">
        <f ca="1">IF(M142="","",(LN((((2*B46)/(L141+L185))-1)^-1)))</f>
        <v>0.69977215878425902</v>
      </c>
      <c r="P142" s="104">
        <f t="shared" ca="1" si="36"/>
        <v>0.48968107420958223</v>
      </c>
      <c r="Q142" s="104">
        <f t="shared" ca="1" si="37"/>
        <v>20.083460957108233</v>
      </c>
      <c r="R142" s="11">
        <f t="shared" ca="1" si="38"/>
        <v>29</v>
      </c>
      <c r="S142" s="11">
        <f t="shared" ca="1" si="39"/>
        <v>841</v>
      </c>
      <c r="T142" s="11">
        <f t="shared" ca="1" si="29"/>
        <v>0.69977215878425902</v>
      </c>
      <c r="U142" s="11">
        <f t="shared" ca="1" si="29"/>
        <v>0.48968107420958223</v>
      </c>
      <c r="V142" s="11">
        <f t="shared" ca="1" si="40"/>
        <v>20.293392604743513</v>
      </c>
    </row>
    <row r="143" spans="1:22" x14ac:dyDescent="0.3">
      <c r="A143" s="104">
        <f t="shared" ca="1" si="33"/>
        <v>83.402586218692164</v>
      </c>
      <c r="B143" s="104">
        <f ca="1">IF(A143="","",SMALL(A74:A173,70))</f>
        <v>67.297559690784823</v>
      </c>
      <c r="C143" s="104">
        <f>'FALL 3'!C143</f>
        <v>70</v>
      </c>
      <c r="D143" s="104">
        <f ca="1">(IF(C143=0,"",B143*0.01*(K77-K78)+K78))</f>
        <v>66.95160854829679</v>
      </c>
      <c r="E143" s="104"/>
      <c r="F143" s="104">
        <f ca="1">IF(D143="","",((LN(D143/(100-D143)))-B50)/B51)</f>
        <v>29.264195814984241</v>
      </c>
      <c r="G143" s="104">
        <f t="shared" ca="1" si="31"/>
        <v>66.95160854829679</v>
      </c>
      <c r="H143" s="103" t="str">
        <f ca="1">IF(I176=C143,I143,"")</f>
        <v/>
      </c>
      <c r="I143" s="104">
        <f t="shared" ca="1" si="34"/>
        <v>29.3</v>
      </c>
      <c r="J143" s="104"/>
      <c r="K143" s="104"/>
      <c r="L143" s="104">
        <f ca="1">'FALL 6'!L143</f>
        <v>35.054999999999971</v>
      </c>
      <c r="M143" s="104">
        <f t="shared" ca="1" si="32"/>
        <v>29.3</v>
      </c>
      <c r="N143" s="104">
        <f t="shared" ca="1" si="35"/>
        <v>858.49</v>
      </c>
      <c r="O143" s="104">
        <f ca="1">IF(M143="","",(LN((((2*B46)/(L142+L185))-1)^-1)))</f>
        <v>0.74342840228104701</v>
      </c>
      <c r="P143" s="104">
        <f t="shared" ca="1" si="36"/>
        <v>0.55268578931815027</v>
      </c>
      <c r="Q143" s="104">
        <f t="shared" ca="1" si="37"/>
        <v>21.782452186834679</v>
      </c>
      <c r="R143" s="11">
        <f t="shared" ca="1" si="38"/>
        <v>29</v>
      </c>
      <c r="S143" s="11">
        <f t="shared" ca="1" si="39"/>
        <v>841</v>
      </c>
      <c r="T143" s="11">
        <f t="shared" ca="1" si="29"/>
        <v>0.74342840228104701</v>
      </c>
      <c r="U143" s="11">
        <f t="shared" ca="1" si="29"/>
        <v>0.55268578931815027</v>
      </c>
      <c r="V143" s="11">
        <f t="shared" ca="1" si="40"/>
        <v>21.559423666150362</v>
      </c>
    </row>
    <row r="144" spans="1:22" x14ac:dyDescent="0.3">
      <c r="A144" s="104">
        <f t="shared" ca="1" si="33"/>
        <v>72.725821813618936</v>
      </c>
      <c r="B144" s="104">
        <f ca="1">IF(A144="","",SMALL(A74:A173,71))</f>
        <v>69.487537584960464</v>
      </c>
      <c r="C144" s="104">
        <f>'FALL 3'!C144</f>
        <v>71</v>
      </c>
      <c r="D144" s="104">
        <f ca="1">(IF(C144=0,"",B144*0.01*(K77-K78)+K78))</f>
        <v>69.097786891087324</v>
      </c>
      <c r="E144" s="104"/>
      <c r="F144" s="104">
        <f ca="1">IF(D144="","",((LN(D144/(100-D144)))-B50)/B51)</f>
        <v>29.790426591991785</v>
      </c>
      <c r="G144" s="104">
        <f t="shared" ca="1" si="31"/>
        <v>69.097786891087324</v>
      </c>
      <c r="H144" s="103" t="str">
        <f ca="1">IF(I176=C144,I144,"")</f>
        <v/>
      </c>
      <c r="I144" s="104">
        <f t="shared" ca="1" si="34"/>
        <v>29.8</v>
      </c>
      <c r="J144" s="104"/>
      <c r="K144" s="104"/>
      <c r="L144" s="104">
        <f ca="1">'FALL 6'!L144</f>
        <v>35.544999999999973</v>
      </c>
      <c r="M144" s="104">
        <f t="shared" ca="1" si="32"/>
        <v>29.8</v>
      </c>
      <c r="N144" s="104">
        <f t="shared" ca="1" si="35"/>
        <v>888.04000000000008</v>
      </c>
      <c r="O144" s="104">
        <f ca="1">IF(M144="","",(LN((((2*B46)/(L143+L185))-1)^-1)))</f>
        <v>0.78777295619691168</v>
      </c>
      <c r="P144" s="104">
        <f t="shared" ca="1" si="36"/>
        <v>0.62058623051522133</v>
      </c>
      <c r="Q144" s="104">
        <f t="shared" ca="1" si="37"/>
        <v>23.475634094667967</v>
      </c>
      <c r="R144" s="11">
        <f t="shared" ca="1" si="38"/>
        <v>30</v>
      </c>
      <c r="S144" s="11">
        <f t="shared" ca="1" si="39"/>
        <v>900</v>
      </c>
      <c r="T144" s="11">
        <f t="shared" ca="1" si="29"/>
        <v>0.78777295619691168</v>
      </c>
      <c r="U144" s="11">
        <f t="shared" ca="1" si="29"/>
        <v>0.62058623051522133</v>
      </c>
      <c r="V144" s="11">
        <f t="shared" ca="1" si="40"/>
        <v>23.633188685907349</v>
      </c>
    </row>
    <row r="145" spans="1:22" x14ac:dyDescent="0.3">
      <c r="A145" s="104">
        <f t="shared" ca="1" si="33"/>
        <v>55.637290178441866</v>
      </c>
      <c r="B145" s="104">
        <f ca="1">IF(A145="","",SMALL(A74:A173,72))</f>
        <v>70.44604804479178</v>
      </c>
      <c r="C145" s="104">
        <f>'FALL 3'!C145</f>
        <v>72</v>
      </c>
      <c r="D145" s="104">
        <f ca="1">(IF(C145=0,"",B145*0.01*(K77-K78)+K78))</f>
        <v>70.037127144566242</v>
      </c>
      <c r="E145" s="104"/>
      <c r="F145" s="104">
        <f ca="1">IF(D145="","",((LN(D145/(100-D145)))-B50)/B51)</f>
        <v>30.027004281503835</v>
      </c>
      <c r="G145" s="104">
        <f t="shared" ca="1" si="31"/>
        <v>70.037127144566242</v>
      </c>
      <c r="H145" s="103" t="str">
        <f ca="1">IF(I176=C145,I145,"")</f>
        <v/>
      </c>
      <c r="I145" s="104">
        <f t="shared" ca="1" si="34"/>
        <v>30</v>
      </c>
      <c r="J145" s="104"/>
      <c r="K145" s="104"/>
      <c r="L145" s="104">
        <f ca="1">'FALL 6'!L145</f>
        <v>36.034999999999975</v>
      </c>
      <c r="M145" s="104">
        <f t="shared" ca="1" si="32"/>
        <v>30</v>
      </c>
      <c r="N145" s="104">
        <f t="shared" ca="1" si="35"/>
        <v>900</v>
      </c>
      <c r="O145" s="104">
        <f ca="1">IF(M145="","",(LN((((2*B46)/(L144+L185))-1)^-1)))</f>
        <v>0.83286692379736882</v>
      </c>
      <c r="P145" s="104">
        <f t="shared" ca="1" si="36"/>
        <v>0.69366731275569216</v>
      </c>
      <c r="Q145" s="104">
        <f t="shared" ca="1" si="37"/>
        <v>24.986007713921065</v>
      </c>
      <c r="R145" s="11">
        <f t="shared" ca="1" si="38"/>
        <v>30</v>
      </c>
      <c r="S145" s="11">
        <f t="shared" ca="1" si="39"/>
        <v>900</v>
      </c>
      <c r="T145" s="11">
        <f t="shared" ca="1" si="29"/>
        <v>0.83286692379736882</v>
      </c>
      <c r="U145" s="11">
        <f t="shared" ca="1" si="29"/>
        <v>0.69366731275569216</v>
      </c>
      <c r="V145" s="11">
        <f t="shared" ca="1" si="40"/>
        <v>24.986007713921065</v>
      </c>
    </row>
    <row r="146" spans="1:22" x14ac:dyDescent="0.3">
      <c r="A146" s="104">
        <f t="shared" ca="1" si="33"/>
        <v>74.572741230498437</v>
      </c>
      <c r="B146" s="104">
        <f ca="1">IF(A146="","",SMALL(A74:A173,73))</f>
        <v>70.838528356428796</v>
      </c>
      <c r="C146" s="104">
        <f>'FALL 3'!C146</f>
        <v>73</v>
      </c>
      <c r="D146" s="104">
        <f ca="1">(IF(C146=0,"",B146*0.01*(K77-K78)+K78))</f>
        <v>70.421757851135126</v>
      </c>
      <c r="E146" s="104"/>
      <c r="F146" s="104">
        <f ca="1">IF(D146="","",((LN(D146/(100-D146)))-B50)/B51)</f>
        <v>30.125091305305329</v>
      </c>
      <c r="G146" s="104">
        <f t="shared" ca="1" si="31"/>
        <v>70.421757851135126</v>
      </c>
      <c r="H146" s="103" t="str">
        <f ca="1">IF(I176=C146,I146,"")</f>
        <v/>
      </c>
      <c r="I146" s="104">
        <f t="shared" ca="1" si="34"/>
        <v>30.1</v>
      </c>
      <c r="J146" s="104"/>
      <c r="K146" s="104"/>
      <c r="L146" s="104">
        <f ca="1">'FALL 6'!L146</f>
        <v>36.524999999999977</v>
      </c>
      <c r="M146" s="104">
        <f t="shared" ca="1" si="32"/>
        <v>30.1</v>
      </c>
      <c r="N146" s="104">
        <f t="shared" ca="1" si="35"/>
        <v>906.0100000000001</v>
      </c>
      <c r="O146" s="104">
        <f ca="1">IF(M146="","",(LN((((2*B46)/(L145+L185))-1)^-1)))</f>
        <v>0.87877654707174457</v>
      </c>
      <c r="P146" s="104">
        <f t="shared" ca="1" si="36"/>
        <v>0.77224821968333812</v>
      </c>
      <c r="Q146" s="104">
        <f t="shared" ca="1" si="37"/>
        <v>26.451174066859512</v>
      </c>
      <c r="R146" s="11">
        <f t="shared" ca="1" si="38"/>
        <v>30</v>
      </c>
      <c r="S146" s="11">
        <f t="shared" ca="1" si="39"/>
        <v>900</v>
      </c>
      <c r="T146" s="11">
        <f t="shared" ca="1" si="29"/>
        <v>0.87877654707174457</v>
      </c>
      <c r="U146" s="11">
        <f t="shared" ca="1" si="29"/>
        <v>0.77224821968333812</v>
      </c>
      <c r="V146" s="11">
        <f t="shared" ca="1" si="40"/>
        <v>26.363296412152337</v>
      </c>
    </row>
    <row r="147" spans="1:22" x14ac:dyDescent="0.3">
      <c r="A147" s="104">
        <f t="shared" ca="1" si="33"/>
        <v>15.65190118647228</v>
      </c>
      <c r="B147" s="104">
        <f ca="1">IF(A147="","",SMALL(A74:A173,74))</f>
        <v>71.098211631190992</v>
      </c>
      <c r="C147" s="104">
        <f>'FALL 3'!C147</f>
        <v>74</v>
      </c>
      <c r="D147" s="104">
        <f ca="1">(IF(C147=0,"",B147*0.01*(K77-K78)+K78))</f>
        <v>70.676247461172636</v>
      </c>
      <c r="E147" s="104"/>
      <c r="F147" s="104">
        <f ca="1">IF(D147="","",((LN(D147/(100-D147)))-B50)/B51)</f>
        <v>30.190396908230682</v>
      </c>
      <c r="G147" s="104">
        <f t="shared" ca="1" si="31"/>
        <v>70.676247461172636</v>
      </c>
      <c r="H147" s="103" t="str">
        <f ca="1">IF(I176=C147,I147,"")</f>
        <v/>
      </c>
      <c r="I147" s="104">
        <f t="shared" ca="1" si="34"/>
        <v>30.2</v>
      </c>
      <c r="J147" s="100"/>
      <c r="K147" s="104"/>
      <c r="L147" s="104">
        <f ca="1">'FALL 6'!L147</f>
        <v>37.014999999999979</v>
      </c>
      <c r="M147" s="104">
        <f t="shared" ca="1" si="32"/>
        <v>30.2</v>
      </c>
      <c r="N147" s="104">
        <f t="shared" ca="1" si="35"/>
        <v>912.04</v>
      </c>
      <c r="O147" s="104">
        <f ca="1">IF(M147="","",(LN((((2*B46)/(L146+L185))-1)^-1)))</f>
        <v>0.92557393417770695</v>
      </c>
      <c r="P147" s="104">
        <f t="shared" ca="1" si="36"/>
        <v>0.8566871076291982</v>
      </c>
      <c r="Q147" s="104">
        <f t="shared" ca="1" si="37"/>
        <v>27.952332812166748</v>
      </c>
      <c r="R147" s="11">
        <f t="shared" ca="1" si="38"/>
        <v>30</v>
      </c>
      <c r="S147" s="11">
        <f t="shared" ca="1" si="39"/>
        <v>900</v>
      </c>
      <c r="T147" s="11">
        <f t="shared" ca="1" si="29"/>
        <v>0.92557393417770695</v>
      </c>
      <c r="U147" s="11">
        <f t="shared" ca="1" si="29"/>
        <v>0.8566871076291982</v>
      </c>
      <c r="V147" s="11">
        <f t="shared" ca="1" si="40"/>
        <v>27.767218025331207</v>
      </c>
    </row>
    <row r="148" spans="1:22" x14ac:dyDescent="0.3">
      <c r="A148" s="104">
        <f t="shared" ca="1" si="33"/>
        <v>16.828481962587652</v>
      </c>
      <c r="B148" s="104">
        <f ca="1">IF(A148="","",SMALL(A74:A173,75))</f>
        <v>72.079522922149621</v>
      </c>
      <c r="C148" s="104">
        <f>'FALL 3'!C148</f>
        <v>75</v>
      </c>
      <c r="D148" s="104">
        <f ca="1">(IF(C148=0,"",B148*0.01*(K77-K78)+K78))</f>
        <v>71.637932529223974</v>
      </c>
      <c r="E148" s="104"/>
      <c r="F148" s="104">
        <f ca="1">IF(D148="","",((LN(D148/(100-D148)))-B50)/B51)</f>
        <v>30.440244625299577</v>
      </c>
      <c r="G148" s="104">
        <f t="shared" ca="1" si="31"/>
        <v>71.637932529223974</v>
      </c>
      <c r="H148" s="103" t="str">
        <f ca="1">IF(I176=C148,I148,"")</f>
        <v/>
      </c>
      <c r="I148" s="104">
        <f t="shared" ca="1" si="34"/>
        <v>30.4</v>
      </c>
      <c r="J148" s="100"/>
      <c r="K148" s="104"/>
      <c r="L148" s="104">
        <f ca="1">'FALL 6'!L148</f>
        <v>37.504999999999981</v>
      </c>
      <c r="M148" s="104">
        <f t="shared" ca="1" si="32"/>
        <v>30.4</v>
      </c>
      <c r="N148" s="104">
        <f t="shared" ca="1" si="35"/>
        <v>924.16</v>
      </c>
      <c r="O148" s="104">
        <f ca="1">IF(M148="","",(LN((((2*B46)/(L147+L185))-1)^-1)))</f>
        <v>0.97333790924114183</v>
      </c>
      <c r="P148" s="104">
        <f t="shared" ca="1" si="36"/>
        <v>0.94738668556591721</v>
      </c>
      <c r="Q148" s="104">
        <f t="shared" ca="1" si="37"/>
        <v>29.589472440930709</v>
      </c>
      <c r="R148" s="11">
        <f t="shared" ca="1" si="38"/>
        <v>30</v>
      </c>
      <c r="S148" s="11">
        <f t="shared" ca="1" si="39"/>
        <v>900</v>
      </c>
      <c r="T148" s="11">
        <f t="shared" ca="1" si="29"/>
        <v>0.97333790924114183</v>
      </c>
      <c r="U148" s="11">
        <f t="shared" ca="1" si="29"/>
        <v>0.94738668556591721</v>
      </c>
      <c r="V148" s="11">
        <f t="shared" ca="1" si="40"/>
        <v>29.200137277234255</v>
      </c>
    </row>
    <row r="149" spans="1:22" x14ac:dyDescent="0.3">
      <c r="A149" s="104">
        <f t="shared" ca="1" si="33"/>
        <v>45.331371863332258</v>
      </c>
      <c r="B149" s="104">
        <f ca="1">IF(A149="","",SMALL(A74:A173,76))</f>
        <v>72.725821813618936</v>
      </c>
      <c r="C149" s="104">
        <f>'FALL 3'!C149</f>
        <v>76</v>
      </c>
      <c r="D149" s="104">
        <f ca="1">(IF(C149=0,"",B149*0.01*(K77-K78)+K78))</f>
        <v>72.271305444781703</v>
      </c>
      <c r="E149" s="104"/>
      <c r="F149" s="104">
        <f ca="1">IF(D149="","",((LN(D149/(100-D149)))-B50)/B51)</f>
        <v>30.607593486653563</v>
      </c>
      <c r="G149" s="104">
        <f t="shared" ca="1" si="31"/>
        <v>72.271305444781703</v>
      </c>
      <c r="H149" s="103" t="str">
        <f ca="1">IF(I176=C149,I149,"")</f>
        <v/>
      </c>
      <c r="I149" s="104">
        <f t="shared" ca="1" si="34"/>
        <v>30.6</v>
      </c>
      <c r="J149" s="100"/>
      <c r="K149" s="104"/>
      <c r="L149" s="104">
        <f ca="1">'FALL 6'!L149</f>
        <v>37.994999999999983</v>
      </c>
      <c r="M149" s="104">
        <f t="shared" ca="1" si="32"/>
        <v>30.6</v>
      </c>
      <c r="N149" s="104">
        <f t="shared" ca="1" si="35"/>
        <v>936.36000000000013</v>
      </c>
      <c r="O149" s="104">
        <f ca="1">IF(M149="","",(LN((((2*B46)/(L148+L185))-1)^-1)))</f>
        <v>1.0221550109516349</v>
      </c>
      <c r="P149" s="104">
        <f t="shared" ca="1" si="36"/>
        <v>1.0448008664135369</v>
      </c>
      <c r="Q149" s="104">
        <f t="shared" ca="1" si="37"/>
        <v>31.277943335120028</v>
      </c>
      <c r="R149" s="11">
        <f t="shared" ca="1" si="38"/>
        <v>31</v>
      </c>
      <c r="S149" s="11">
        <f t="shared" ca="1" si="39"/>
        <v>961</v>
      </c>
      <c r="T149" s="11">
        <f t="shared" ca="1" si="29"/>
        <v>1.0221550109516349</v>
      </c>
      <c r="U149" s="11">
        <f t="shared" ca="1" si="29"/>
        <v>1.0448008664135369</v>
      </c>
      <c r="V149" s="11">
        <f t="shared" ca="1" si="40"/>
        <v>31.68680533950068</v>
      </c>
    </row>
    <row r="150" spans="1:22" x14ac:dyDescent="0.3">
      <c r="A150" s="104">
        <f t="shared" ca="1" si="33"/>
        <v>57.607414709814392</v>
      </c>
      <c r="B150" s="104">
        <f ca="1">IF(A150="","",SMALL(A74:A173,77))</f>
        <v>73.11835341560915</v>
      </c>
      <c r="C150" s="104">
        <f>'FALL 3'!C150</f>
        <v>77</v>
      </c>
      <c r="D150" s="104">
        <f ca="1">IF(C150=0,"",(B150*0.01*(K77-K78)+K78))</f>
        <v>72.655986415896876</v>
      </c>
      <c r="E150" s="104"/>
      <c r="F150" s="104">
        <f ca="1">IF(D150="","",((LN(D150/(100-D150)))-B50)/B51)</f>
        <v>30.710382976655961</v>
      </c>
      <c r="G150" s="104">
        <f t="shared" ca="1" si="31"/>
        <v>72.655986415896876</v>
      </c>
      <c r="H150" s="103" t="str">
        <f ca="1">IF(I176=C150,I150,"")</f>
        <v/>
      </c>
      <c r="I150" s="104">
        <f t="shared" ca="1" si="34"/>
        <v>30.7</v>
      </c>
      <c r="J150" s="104"/>
      <c r="K150" s="104"/>
      <c r="L150" s="104">
        <f ca="1">'FALL 6'!L150</f>
        <v>38.484999999999985</v>
      </c>
      <c r="M150" s="104">
        <f t="shared" ca="1" si="32"/>
        <v>30.7</v>
      </c>
      <c r="N150" s="104">
        <f t="shared" ca="1" si="35"/>
        <v>942.49</v>
      </c>
      <c r="O150" s="104">
        <f ca="1">IF(M150="","",(LN((((2*B46)/(L149+L185))-1)^-1)))</f>
        <v>1.072120673221137</v>
      </c>
      <c r="P150" s="104">
        <f t="shared" ca="1" si="36"/>
        <v>1.149442737948144</v>
      </c>
      <c r="Q150" s="104">
        <f t="shared" ca="1" si="37"/>
        <v>32.914104667888907</v>
      </c>
      <c r="R150" s="11">
        <f t="shared" ca="1" si="38"/>
        <v>31</v>
      </c>
      <c r="S150" s="11">
        <f t="shared" ca="1" si="39"/>
        <v>961</v>
      </c>
      <c r="T150" s="11">
        <f t="shared" ca="1" si="29"/>
        <v>1.072120673221137</v>
      </c>
      <c r="U150" s="11">
        <f t="shared" ca="1" si="29"/>
        <v>1.149442737948144</v>
      </c>
      <c r="V150" s="11">
        <f t="shared" ca="1" si="40"/>
        <v>33.235740869855249</v>
      </c>
    </row>
    <row r="151" spans="1:22" x14ac:dyDescent="0.3">
      <c r="A151" s="104">
        <f t="shared" ca="1" si="33"/>
        <v>11.457603398154287</v>
      </c>
      <c r="B151" s="104">
        <f ca="1">IF(A151="","",SMALL(A74:A173,78))</f>
        <v>74.452341912460625</v>
      </c>
      <c r="C151" s="104">
        <f>'FALL 3'!C151</f>
        <v>78</v>
      </c>
      <c r="D151" s="104">
        <f ca="1">IF(C151=0,"",(B151*0.01*(K77-K78)+K78))</f>
        <v>73.963295146769724</v>
      </c>
      <c r="E151" s="104"/>
      <c r="F151" s="104">
        <f ca="1">IF(D151="","",((LN(D151/(100-D151)))-B50)/B51)</f>
        <v>31.066668863928104</v>
      </c>
      <c r="G151" s="104">
        <f t="shared" ca="1" si="31"/>
        <v>73.963295146769724</v>
      </c>
      <c r="H151" s="103" t="str">
        <f ca="1">IF(I176=C151,I151,"")</f>
        <v/>
      </c>
      <c r="I151" s="104">
        <f t="shared" ca="1" si="34"/>
        <v>31.1</v>
      </c>
      <c r="J151" s="104"/>
      <c r="K151" s="104"/>
      <c r="L151" s="104">
        <f ca="1">'FALL 6'!L151</f>
        <v>38.974999999999987</v>
      </c>
      <c r="M151" s="104">
        <f t="shared" ca="1" si="32"/>
        <v>31.1</v>
      </c>
      <c r="N151" s="104">
        <f t="shared" ca="1" si="35"/>
        <v>967.21</v>
      </c>
      <c r="O151" s="104">
        <f ca="1">IF(M151="","",(LN((((2*B46)/(L150+L185))-1)^-1)))</f>
        <v>1.1233406301025473</v>
      </c>
      <c r="P151" s="104">
        <f t="shared" ca="1" si="36"/>
        <v>1.2618941712391878</v>
      </c>
      <c r="Q151" s="104">
        <f t="shared" ca="1" si="37"/>
        <v>34.935893596189224</v>
      </c>
      <c r="R151" s="11">
        <f t="shared" ca="1" si="38"/>
        <v>31</v>
      </c>
      <c r="S151" s="11">
        <f t="shared" ca="1" si="39"/>
        <v>961</v>
      </c>
      <c r="T151" s="11">
        <f t="shared" ca="1" si="29"/>
        <v>1.1233406301025473</v>
      </c>
      <c r="U151" s="11">
        <f t="shared" ca="1" si="29"/>
        <v>1.2618941712391878</v>
      </c>
      <c r="V151" s="11">
        <f t="shared" ca="1" si="40"/>
        <v>34.823559533178965</v>
      </c>
    </row>
    <row r="152" spans="1:22" x14ac:dyDescent="0.3">
      <c r="A152" s="104">
        <f t="shared" ca="1" si="33"/>
        <v>33.576932117907226</v>
      </c>
      <c r="B152" s="104">
        <f ca="1">IF(A152="","",SMALL(A74:A173,79))</f>
        <v>74.572741230498437</v>
      </c>
      <c r="C152" s="104">
        <f>'FALL 3'!C152</f>
        <v>79</v>
      </c>
      <c r="D152" s="104">
        <f ca="1">IF(C152=0,"",(B152*0.01*(K77-K78)+K78))</f>
        <v>74.081286478804032</v>
      </c>
      <c r="E152" s="104"/>
      <c r="F152" s="104">
        <f ca="1">IF(D152="","",((LN(D152/(100-D152)))-B50)/B51)</f>
        <v>31.099384587919829</v>
      </c>
      <c r="G152" s="104">
        <f t="shared" ca="1" si="31"/>
        <v>74.081286478804032</v>
      </c>
      <c r="H152" s="103" t="str">
        <f ca="1">IF(I176=C152,I152,"")</f>
        <v/>
      </c>
      <c r="I152" s="104">
        <f t="shared" ca="1" si="34"/>
        <v>31.1</v>
      </c>
      <c r="J152" s="104"/>
      <c r="K152" s="104"/>
      <c r="L152" s="104">
        <f ca="1">'FALL 6'!L152</f>
        <v>39.464999999999989</v>
      </c>
      <c r="M152" s="104">
        <f t="shared" ca="1" si="32"/>
        <v>31.1</v>
      </c>
      <c r="N152" s="104">
        <f t="shared" ca="1" si="35"/>
        <v>967.21</v>
      </c>
      <c r="O152" s="104">
        <f ca="1">IF(M152="","",(LN((((2*B46)/(L151+L185))-1)^-1)))</f>
        <v>1.1759325989520197</v>
      </c>
      <c r="P152" s="104">
        <f t="shared" ca="1" si="36"/>
        <v>1.3828174772780517</v>
      </c>
      <c r="Q152" s="104">
        <f t="shared" ca="1" si="37"/>
        <v>36.571503827407817</v>
      </c>
      <c r="R152" s="11">
        <f t="shared" ca="1" si="38"/>
        <v>31</v>
      </c>
      <c r="S152" s="11">
        <f t="shared" ca="1" si="39"/>
        <v>961</v>
      </c>
      <c r="T152" s="11">
        <f t="shared" ca="1" si="29"/>
        <v>1.1759325989520197</v>
      </c>
      <c r="U152" s="11">
        <f t="shared" ca="1" si="29"/>
        <v>1.3828174772780517</v>
      </c>
      <c r="V152" s="11">
        <f t="shared" ca="1" si="40"/>
        <v>36.453910567512615</v>
      </c>
    </row>
    <row r="153" spans="1:22" x14ac:dyDescent="0.3">
      <c r="A153" s="104">
        <f t="shared" ca="1" si="33"/>
        <v>12.495030161389733</v>
      </c>
      <c r="B153" s="104">
        <f ca="1">IF(A153="","",SMALL(A74:A173,80))</f>
        <v>74.617657989152889</v>
      </c>
      <c r="C153" s="104">
        <f>'FALL 3'!C153</f>
        <v>80</v>
      </c>
      <c r="D153" s="104">
        <f ca="1">(IF(C153=0,"",B153*0.01*(K77-K78)+K78))</f>
        <v>74.125304902418677</v>
      </c>
      <c r="E153" s="104"/>
      <c r="F153" s="104">
        <f ca="1">IF(D153="","",((LN(D153/(100-D153)))-B50)/B51)</f>
        <v>31.111614455988441</v>
      </c>
      <c r="G153" s="104">
        <f t="shared" ca="1" si="31"/>
        <v>74.125304902418677</v>
      </c>
      <c r="H153" s="103">
        <f ca="1">IF(I176=C153,I153,"")</f>
        <v>31.1</v>
      </c>
      <c r="I153" s="104">
        <f t="shared" ca="1" si="34"/>
        <v>31.1</v>
      </c>
      <c r="J153" s="104"/>
      <c r="K153" s="104"/>
      <c r="L153" s="104">
        <f ca="1">'FALL 6'!L153</f>
        <v>39.954999999999991</v>
      </c>
      <c r="M153" s="104">
        <f t="shared" ca="1" si="32"/>
        <v>31.1</v>
      </c>
      <c r="N153" s="104">
        <f t="shared" ca="1" si="35"/>
        <v>967.21</v>
      </c>
      <c r="O153" s="104">
        <f ca="1">IF(M153="","",(LN((((2*B46)/(L152+L185))-1)^-1)))</f>
        <v>1.2300283115346533</v>
      </c>
      <c r="P153" s="104">
        <f t="shared" ca="1" si="36"/>
        <v>1.5129696471767902</v>
      </c>
      <c r="Q153" s="104">
        <f t="shared" ca="1" si="37"/>
        <v>38.253880488727717</v>
      </c>
      <c r="R153" s="11">
        <f t="shared" ca="1" si="38"/>
        <v>31</v>
      </c>
      <c r="S153" s="11">
        <f t="shared" ca="1" si="39"/>
        <v>961</v>
      </c>
      <c r="T153" s="11">
        <f t="shared" ca="1" si="29"/>
        <v>1.2300283115346533</v>
      </c>
      <c r="U153" s="11">
        <f t="shared" ca="1" si="29"/>
        <v>1.5129696471767902</v>
      </c>
      <c r="V153" s="11">
        <f t="shared" ca="1" si="40"/>
        <v>38.130877657574253</v>
      </c>
    </row>
    <row r="154" spans="1:22" x14ac:dyDescent="0.3">
      <c r="A154" s="104">
        <f t="shared" ca="1" si="33"/>
        <v>34.678157533357215</v>
      </c>
      <c r="B154" s="104">
        <f ca="1">IF(A154="","",SMALL(A74:A173,81))</f>
        <v>76.151911898042954</v>
      </c>
      <c r="C154" s="104">
        <f>'FALL 3'!C154</f>
        <v>81</v>
      </c>
      <c r="D154" s="104">
        <f ca="1">(IF(C154=0,"",B154*0.01*(K77-K78)+K78))</f>
        <v>75.628873737683591</v>
      </c>
      <c r="E154" s="104"/>
      <c r="F154" s="104">
        <f ca="1">IF(D154="","",((LN(D154/(100-D154)))-B50)/B51)</f>
        <v>31.537874284063051</v>
      </c>
      <c r="G154" s="104">
        <f t="shared" ca="1" si="31"/>
        <v>75.628873737683591</v>
      </c>
      <c r="H154" s="103" t="str">
        <f ca="1">IF(I176=C154,I154,"")</f>
        <v/>
      </c>
      <c r="I154" s="104">
        <f t="shared" ca="1" si="34"/>
        <v>31.5</v>
      </c>
      <c r="J154" s="104"/>
      <c r="K154" s="104"/>
      <c r="L154" s="104">
        <f ca="1">'FALL 6'!L154</f>
        <v>40.444999999999993</v>
      </c>
      <c r="M154" s="104">
        <f t="shared" ca="1" si="32"/>
        <v>31.5</v>
      </c>
      <c r="N154" s="104">
        <f t="shared" ca="1" si="35"/>
        <v>992.25</v>
      </c>
      <c r="O154" s="104">
        <f ca="1">IF(M154="","",(LN((((2*B46)/(L153+L185))-1)^-1)))</f>
        <v>1.285775983954351</v>
      </c>
      <c r="P154" s="104">
        <f t="shared" ca="1" si="36"/>
        <v>1.6532198809137795</v>
      </c>
      <c r="Q154" s="104">
        <f t="shared" ca="1" si="37"/>
        <v>40.501943494562056</v>
      </c>
      <c r="R154" s="11">
        <f t="shared" ca="1" si="38"/>
        <v>32</v>
      </c>
      <c r="S154" s="11">
        <f t="shared" ca="1" si="39"/>
        <v>1024</v>
      </c>
      <c r="T154" s="11">
        <f t="shared" ref="T154:U173" ca="1" si="41">O154</f>
        <v>1.285775983954351</v>
      </c>
      <c r="U154" s="11">
        <f t="shared" ca="1" si="41"/>
        <v>1.6532198809137795</v>
      </c>
      <c r="V154" s="11">
        <f t="shared" ca="1" si="40"/>
        <v>41.144831486539232</v>
      </c>
    </row>
    <row r="155" spans="1:22" x14ac:dyDescent="0.3">
      <c r="A155" s="104">
        <f t="shared" ca="1" si="33"/>
        <v>9.2071704567484343</v>
      </c>
      <c r="B155" s="104">
        <f ca="1">IF(A155="","",SMALL(A74:A173,82))</f>
        <v>78.962041119769069</v>
      </c>
      <c r="C155" s="104">
        <f>'FALL 3'!C155</f>
        <v>82</v>
      </c>
      <c r="D155" s="104">
        <f ca="1">(IF(C155=0,"",B155*0.01*(K77-K78)+K78))</f>
        <v>78.382800383313779</v>
      </c>
      <c r="E155" s="104"/>
      <c r="F155" s="104">
        <f ca="1">IF(D155="","",((LN(D155/(100-D155)))-B50)/B51)</f>
        <v>32.367899745614942</v>
      </c>
      <c r="G155" s="104">
        <f t="shared" ca="1" si="31"/>
        <v>78.382800383313779</v>
      </c>
      <c r="H155" s="103" t="str">
        <f ca="1">IF(I176=C155,I155,"")</f>
        <v/>
      </c>
      <c r="I155" s="104">
        <f t="shared" ca="1" si="34"/>
        <v>32.4</v>
      </c>
      <c r="J155" s="104"/>
      <c r="K155" s="104"/>
      <c r="L155" s="104">
        <f ca="1">'FALL 6'!L155</f>
        <v>40.934999999999995</v>
      </c>
      <c r="M155" s="104">
        <f t="shared" ca="1" si="32"/>
        <v>32.4</v>
      </c>
      <c r="N155" s="104">
        <f t="shared" ca="1" si="35"/>
        <v>1049.76</v>
      </c>
      <c r="O155" s="104">
        <f ca="1">IF(M155="","",(LN((((2*B46)/(L154+L185))-1)^-1)))</f>
        <v>1.3433433451696377</v>
      </c>
      <c r="P155" s="104">
        <f t="shared" ca="1" si="36"/>
        <v>1.8045713430115524</v>
      </c>
      <c r="Q155" s="104">
        <f t="shared" ca="1" si="37"/>
        <v>43.524324383496257</v>
      </c>
      <c r="R155" s="11">
        <f t="shared" ca="1" si="38"/>
        <v>32</v>
      </c>
      <c r="S155" s="11">
        <f t="shared" ca="1" si="39"/>
        <v>1024</v>
      </c>
      <c r="T155" s="11">
        <f t="shared" ca="1" si="41"/>
        <v>1.3433433451696377</v>
      </c>
      <c r="U155" s="11">
        <f t="shared" ca="1" si="41"/>
        <v>1.8045713430115524</v>
      </c>
      <c r="V155" s="11">
        <f t="shared" ca="1" si="40"/>
        <v>42.986987045428407</v>
      </c>
    </row>
    <row r="156" spans="1:22" x14ac:dyDescent="0.3">
      <c r="A156" s="104">
        <f t="shared" ca="1" si="33"/>
        <v>6.2416570711585084</v>
      </c>
      <c r="B156" s="104">
        <f ca="1">IF(A156="","",SMALL(A74:A173,83))</f>
        <v>81.350390940045671</v>
      </c>
      <c r="C156" s="104">
        <f>'FALL 3'!C156</f>
        <v>83</v>
      </c>
      <c r="D156" s="104">
        <f ca="1">IF(C156=0,"",(B156*0.01*(K77-K78)+K78))</f>
        <v>80.723383214271877</v>
      </c>
      <c r="E156" s="104"/>
      <c r="F156" s="104">
        <f ca="1">IF(D156="","",((LN(D156/(100-D156)))-B50)/B51)</f>
        <v>33.135778730576241</v>
      </c>
      <c r="G156" s="104">
        <f t="shared" ca="1" si="31"/>
        <v>80.723383214271877</v>
      </c>
      <c r="H156" s="103" t="str">
        <f ca="1">IF(I176=C156,I156,"")</f>
        <v/>
      </c>
      <c r="I156" s="104">
        <f t="shared" ca="1" si="34"/>
        <v>33.1</v>
      </c>
      <c r="J156" s="104"/>
      <c r="K156" s="104"/>
      <c r="L156" s="104">
        <f ca="1">'FALL 6'!L156</f>
        <v>41.424999999999997</v>
      </c>
      <c r="M156" s="104">
        <f t="shared" ca="1" si="32"/>
        <v>33.1</v>
      </c>
      <c r="N156" s="104">
        <f t="shared" ca="1" si="35"/>
        <v>1095.6100000000001</v>
      </c>
      <c r="O156" s="104">
        <f ca="1">IF(M156="","",(LN((((2*B46)/(L155+L185))-1)^-1)))</f>
        <v>1.4029213837366628</v>
      </c>
      <c r="P156" s="104">
        <f t="shared" ca="1" si="36"/>
        <v>1.9681884089455925</v>
      </c>
      <c r="Q156" s="104">
        <f t="shared" ca="1" si="37"/>
        <v>46.436697801683536</v>
      </c>
      <c r="R156" s="11">
        <f t="shared" ca="1" si="38"/>
        <v>33</v>
      </c>
      <c r="S156" s="11">
        <f t="shared" ca="1" si="39"/>
        <v>1089</v>
      </c>
      <c r="T156" s="11">
        <f t="shared" ca="1" si="41"/>
        <v>1.4029213837366628</v>
      </c>
      <c r="U156" s="11">
        <f t="shared" ca="1" si="41"/>
        <v>1.9681884089455925</v>
      </c>
      <c r="V156" s="11">
        <f t="shared" ca="1" si="40"/>
        <v>46.296405663309869</v>
      </c>
    </row>
    <row r="157" spans="1:22" x14ac:dyDescent="0.3">
      <c r="A157" s="104">
        <f t="shared" ca="1" si="33"/>
        <v>33.826550158117115</v>
      </c>
      <c r="B157" s="104">
        <f ca="1">IF(A157="","",SMALL(A74:A173,84))</f>
        <v>82.983356054146881</v>
      </c>
      <c r="C157" s="104">
        <f>'FALL 3'!C157</f>
        <v>84</v>
      </c>
      <c r="D157" s="104">
        <f ca="1">(IF(C157=0,"",B157*0.01*(K77-K78)+K78))</f>
        <v>82.32368903093662</v>
      </c>
      <c r="E157" s="104"/>
      <c r="F157" s="104">
        <f ca="1">IF(D157="","",((LN(D157/(100-D157)))-B50)/B51)</f>
        <v>33.702532542681894</v>
      </c>
      <c r="G157" s="104">
        <f t="shared" ca="1" si="31"/>
        <v>82.32368903093662</v>
      </c>
      <c r="H157" s="103" t="str">
        <f ca="1">IF(I176=C157,I157,"")</f>
        <v/>
      </c>
      <c r="I157" s="104">
        <f t="shared" ca="1" si="34"/>
        <v>33.700000000000003</v>
      </c>
      <c r="J157" s="104"/>
      <c r="K157" s="104"/>
      <c r="L157" s="104">
        <f ca="1">'FALL 6'!L157</f>
        <v>41.914999999999999</v>
      </c>
      <c r="M157" s="104">
        <f t="shared" ca="1" si="32"/>
        <v>33.700000000000003</v>
      </c>
      <c r="N157" s="104">
        <f t="shared" ca="1" si="35"/>
        <v>1135.6900000000003</v>
      </c>
      <c r="O157" s="104">
        <f ca="1">IF(M157="","",(LN((((2*B46)/(L156+L185))-1)^-1)))</f>
        <v>1.464729028245924</v>
      </c>
      <c r="P157" s="104">
        <f t="shared" ca="1" si="36"/>
        <v>2.1454311261862489</v>
      </c>
      <c r="Q157" s="104">
        <f t="shared" ca="1" si="37"/>
        <v>49.36136825188764</v>
      </c>
      <c r="R157" s="11">
        <f t="shared" ca="1" si="38"/>
        <v>34</v>
      </c>
      <c r="S157" s="11">
        <f t="shared" ca="1" si="39"/>
        <v>1156</v>
      </c>
      <c r="T157" s="11">
        <f t="shared" ca="1" si="41"/>
        <v>1.464729028245924</v>
      </c>
      <c r="U157" s="11">
        <f t="shared" ca="1" si="41"/>
        <v>2.1454311261862489</v>
      </c>
      <c r="V157" s="11">
        <f t="shared" ca="1" si="40"/>
        <v>49.800786960361414</v>
      </c>
    </row>
    <row r="158" spans="1:22" x14ac:dyDescent="0.3">
      <c r="A158" s="104">
        <f t="shared" ca="1" si="33"/>
        <v>36.832305770047988</v>
      </c>
      <c r="B158" s="104">
        <f ca="1">IF(A158="","",SMALL(A74:A173,85))</f>
        <v>83.133725546370826</v>
      </c>
      <c r="C158" s="104">
        <f>'FALL 3'!C158</f>
        <v>85</v>
      </c>
      <c r="D158" s="104">
        <f ca="1">IF(C158=0,"",(B158*0.01*(K77-K78)+K78))</f>
        <v>82.471051133762288</v>
      </c>
      <c r="E158" s="104"/>
      <c r="F158" s="104">
        <f ca="1">IF(D158="","",((LN(D158/(100-D158)))-B50)/B51)</f>
        <v>33.756703466110373</v>
      </c>
      <c r="G158" s="104">
        <f t="shared" ca="1" si="31"/>
        <v>82.471051133762288</v>
      </c>
      <c r="H158" s="103" t="str">
        <f ca="1">IF(I176=C158,I158,"")</f>
        <v/>
      </c>
      <c r="I158" s="104">
        <f t="shared" ca="1" si="34"/>
        <v>33.799999999999997</v>
      </c>
      <c r="J158" s="104"/>
      <c r="K158" s="104"/>
      <c r="L158" s="104">
        <f ca="1">'FALL 6'!L158</f>
        <v>42.405000000000001</v>
      </c>
      <c r="M158" s="104">
        <f t="shared" ca="1" si="32"/>
        <v>33.799999999999997</v>
      </c>
      <c r="N158" s="104">
        <f t="shared" ca="1" si="35"/>
        <v>1142.4399999999998</v>
      </c>
      <c r="O158" s="104">
        <f ca="1">IF(M158="","",(LN((((2*B46)/(L157+L185))-1)^-1)))</f>
        <v>1.5290190562416937</v>
      </c>
      <c r="P158" s="104">
        <f t="shared" ca="1" si="36"/>
        <v>2.3378992743502396</v>
      </c>
      <c r="Q158" s="104">
        <f t="shared" ca="1" si="37"/>
        <v>51.680844100969239</v>
      </c>
      <c r="R158" s="11">
        <f t="shared" ca="1" si="38"/>
        <v>34</v>
      </c>
      <c r="S158" s="11">
        <f t="shared" ca="1" si="39"/>
        <v>1156</v>
      </c>
      <c r="T158" s="11">
        <f t="shared" ca="1" si="41"/>
        <v>1.5290190562416937</v>
      </c>
      <c r="U158" s="11">
        <f t="shared" ca="1" si="41"/>
        <v>2.3378992743502396</v>
      </c>
      <c r="V158" s="11">
        <f t="shared" ca="1" si="40"/>
        <v>51.986647912217585</v>
      </c>
    </row>
    <row r="159" spans="1:22" x14ac:dyDescent="0.3">
      <c r="A159" s="104">
        <f t="shared" ca="1" si="33"/>
        <v>95.560869267518427</v>
      </c>
      <c r="B159" s="104">
        <f ca="1">IF(A159="","",SMALL(A74:A173,86))</f>
        <v>83.324204734142299</v>
      </c>
      <c r="C159" s="104">
        <f>'FALL 3'!C159</f>
        <v>86</v>
      </c>
      <c r="D159" s="104">
        <f ca="1">IF(C159=0,"",(B159*0.01*(K77-K78)+K78))</f>
        <v>82.657720738343556</v>
      </c>
      <c r="E159" s="104"/>
      <c r="F159" s="104">
        <f ca="1">IF(D159="","",((LN(D159/(100-D159)))-B50)/B51)</f>
        <v>33.825841382859068</v>
      </c>
      <c r="G159" s="104">
        <f t="shared" ca="1" si="31"/>
        <v>82.657720738343556</v>
      </c>
      <c r="H159" s="103" t="str">
        <f ca="1">IF(I176=C159,I159,"")</f>
        <v/>
      </c>
      <c r="I159" s="104">
        <f t="shared" ca="1" si="34"/>
        <v>33.799999999999997</v>
      </c>
      <c r="J159" s="104"/>
      <c r="K159" s="104"/>
      <c r="L159" s="104">
        <f ca="1">'FALL 6'!L159</f>
        <v>42.895000000000003</v>
      </c>
      <c r="M159" s="104">
        <f t="shared" ca="1" si="32"/>
        <v>33.799999999999997</v>
      </c>
      <c r="N159" s="104">
        <f t="shared" ca="1" si="35"/>
        <v>1142.4399999999998</v>
      </c>
      <c r="O159" s="104">
        <f ca="1">IF(M159="","",(LN((((2*B46)/(L158+L2185))-1)^-1)))</f>
        <v>1.5960856409788595</v>
      </c>
      <c r="P159" s="104">
        <f t="shared" ca="1" si="36"/>
        <v>2.5474893733388968</v>
      </c>
      <c r="Q159" s="104">
        <f t="shared" ca="1" si="37"/>
        <v>53.94769466508545</v>
      </c>
      <c r="R159" s="11">
        <f t="shared" ca="1" si="38"/>
        <v>34</v>
      </c>
      <c r="S159" s="11">
        <f t="shared" ca="1" si="39"/>
        <v>1156</v>
      </c>
      <c r="T159" s="11">
        <f t="shared" ca="1" si="41"/>
        <v>1.5960856409788595</v>
      </c>
      <c r="U159" s="11">
        <f t="shared" ca="1" si="41"/>
        <v>2.5474893733388968</v>
      </c>
      <c r="V159" s="11">
        <f t="shared" ca="1" si="40"/>
        <v>54.266911793281224</v>
      </c>
    </row>
    <row r="160" spans="1:22" x14ac:dyDescent="0.3">
      <c r="A160" s="104">
        <f t="shared" ca="1" si="33"/>
        <v>41.426657122161828</v>
      </c>
      <c r="B160" s="104">
        <f ca="1">IF(A160="","",SMALL(A74:A173,87))</f>
        <v>83.402586218692164</v>
      </c>
      <c r="C160" s="104">
        <f>'FALL 3'!C160</f>
        <v>87</v>
      </c>
      <c r="D160" s="104">
        <f ca="1">IF(C160=0,"",(B160*0.01*(K77-K78)+K78))</f>
        <v>82.734534593435001</v>
      </c>
      <c r="E160" s="104"/>
      <c r="F160" s="104">
        <f ca="1">IF(D160="","",((LN(D160/(100-D160)))-B50)/B51)</f>
        <v>33.854462126127068</v>
      </c>
      <c r="G160" s="104">
        <f t="shared" ca="1" si="31"/>
        <v>82.734534593435001</v>
      </c>
      <c r="H160" s="103" t="str">
        <f ca="1">IF(I176=C160,I160,"")</f>
        <v/>
      </c>
      <c r="I160" s="104">
        <f t="shared" ca="1" si="34"/>
        <v>33.9</v>
      </c>
      <c r="J160" s="104"/>
      <c r="K160" s="104"/>
      <c r="L160" s="104">
        <f ca="1">'FALL 6'!L160</f>
        <v>43.385000000000005</v>
      </c>
      <c r="M160" s="104">
        <f t="shared" ca="1" si="32"/>
        <v>33.9</v>
      </c>
      <c r="N160" s="104">
        <f t="shared" ca="1" si="35"/>
        <v>1149.2099999999998</v>
      </c>
      <c r="O160" s="104">
        <f ca="1">IF(M160="","",(LN((((2*B46)/(L159+L185))-1)^-1)))</f>
        <v>1.6662741138372981</v>
      </c>
      <c r="P160" s="104">
        <f t="shared" ca="1" si="36"/>
        <v>2.776469422444273</v>
      </c>
      <c r="Q160" s="104">
        <f t="shared" ca="1" si="37"/>
        <v>56.486692459084402</v>
      </c>
      <c r="R160" s="11">
        <f t="shared" ca="1" si="38"/>
        <v>34</v>
      </c>
      <c r="S160" s="11">
        <f t="shared" ca="1" si="39"/>
        <v>1156</v>
      </c>
      <c r="T160" s="11">
        <f t="shared" ca="1" si="41"/>
        <v>1.6662741138372981</v>
      </c>
      <c r="U160" s="11">
        <f t="shared" ca="1" si="41"/>
        <v>2.776469422444273</v>
      </c>
      <c r="V160" s="11">
        <f t="shared" ca="1" si="40"/>
        <v>56.653319870468131</v>
      </c>
    </row>
    <row r="161" spans="1:22" x14ac:dyDescent="0.3">
      <c r="A161" s="104">
        <f t="shared" ca="1" si="33"/>
        <v>43.535452326884517</v>
      </c>
      <c r="B161" s="104">
        <f ca="1">IF(A161="","",SMALL(A74:A173,88))</f>
        <v>83.706814786983671</v>
      </c>
      <c r="C161" s="104">
        <f>'FALL 3'!C161</f>
        <v>88</v>
      </c>
      <c r="D161" s="107">
        <f ca="1">(IF(C161=0,"",B161*0.01*(K77-K78)+K78))</f>
        <v>83.032678591263419</v>
      </c>
      <c r="E161" s="104"/>
      <c r="F161" s="104">
        <f ca="1">IF(D161="","",((LN(D161/(100-D161)))-B50)/B51)</f>
        <v>33.966515149456406</v>
      </c>
      <c r="G161" s="104">
        <f t="shared" ca="1" si="31"/>
        <v>83.032678591263419</v>
      </c>
      <c r="H161" s="103" t="str">
        <f ca="1">IF(I176=C161,I161,"")</f>
        <v/>
      </c>
      <c r="I161" s="104">
        <f t="shared" ca="1" si="34"/>
        <v>34</v>
      </c>
      <c r="J161" s="104"/>
      <c r="K161" s="104"/>
      <c r="L161" s="104">
        <f ca="1">'FALL 6'!L161</f>
        <v>43.875000000000007</v>
      </c>
      <c r="M161" s="104">
        <f t="shared" ca="1" si="32"/>
        <v>34</v>
      </c>
      <c r="N161" s="104">
        <f t="shared" ca="1" si="35"/>
        <v>1156</v>
      </c>
      <c r="O161" s="104">
        <f ca="1">IF(M161="","",(LN((((2*B46)/(L160+L185))-1)^-1)))</f>
        <v>1.7399937728983379</v>
      </c>
      <c r="P161" s="104">
        <f t="shared" ca="1" si="36"/>
        <v>3.0275783297249927</v>
      </c>
      <c r="Q161" s="104">
        <f t="shared" ca="1" si="37"/>
        <v>59.159788278543488</v>
      </c>
      <c r="R161" s="11">
        <f t="shared" ca="1" si="38"/>
        <v>34</v>
      </c>
      <c r="S161" s="11">
        <f t="shared" ca="1" si="39"/>
        <v>1156</v>
      </c>
      <c r="T161" s="11">
        <f t="shared" ca="1" si="41"/>
        <v>1.7399937728983379</v>
      </c>
      <c r="U161" s="11">
        <f t="shared" ca="1" si="41"/>
        <v>3.0275783297249927</v>
      </c>
      <c r="V161" s="11">
        <f t="shared" ca="1" si="40"/>
        <v>59.159788278543488</v>
      </c>
    </row>
    <row r="162" spans="1:22" x14ac:dyDescent="0.3">
      <c r="A162" s="104">
        <f t="shared" ca="1" si="33"/>
        <v>93.697289614230485</v>
      </c>
      <c r="B162" s="104">
        <f ca="1">IF(A162="","",SMALL(A74:A173,89))</f>
        <v>84.092662498865408</v>
      </c>
      <c r="C162" s="104">
        <f>'FALL 3'!C162</f>
        <v>89</v>
      </c>
      <c r="D162" s="104">
        <f ca="1">(IF(C162=0,"",B162*0.01*(K77-K78)+K78))</f>
        <v>83.41080935005246</v>
      </c>
      <c r="E162" s="104"/>
      <c r="F162" s="104">
        <f ca="1">IF(D162="","",((LN(D162/(100-D162)))-B50)/B51)</f>
        <v>34.110907114755065</v>
      </c>
      <c r="G162" s="104">
        <f t="shared" ca="1" si="31"/>
        <v>83.41080935005246</v>
      </c>
      <c r="H162" s="103" t="str">
        <f ca="1">IF(I176=C162,I162,"")</f>
        <v/>
      </c>
      <c r="I162" s="104">
        <f t="shared" ca="1" si="34"/>
        <v>34.1</v>
      </c>
      <c r="J162" s="104"/>
      <c r="K162" s="104"/>
      <c r="L162" s="104">
        <f ca="1">'FALL 6'!L162</f>
        <v>44.365000000000009</v>
      </c>
      <c r="M162" s="104">
        <f t="shared" ca="1" si="32"/>
        <v>34.1</v>
      </c>
      <c r="N162" s="104">
        <f t="shared" ca="1" si="35"/>
        <v>1162.8100000000002</v>
      </c>
      <c r="O162" s="104">
        <f ca="1">IF(M162="","",(LN((((2*B46)/(L161+L185))-1)^-1)))</f>
        <v>1.8177349556313274</v>
      </c>
      <c r="P162" s="104">
        <f t="shared" ca="1" si="36"/>
        <v>3.3041603689240238</v>
      </c>
      <c r="Q162" s="104">
        <f t="shared" ca="1" si="37"/>
        <v>61.984761987028264</v>
      </c>
      <c r="R162" s="11">
        <f t="shared" ca="1" si="38"/>
        <v>34</v>
      </c>
      <c r="S162" s="11">
        <f t="shared" ca="1" si="39"/>
        <v>1156</v>
      </c>
      <c r="T162" s="11">
        <f t="shared" ca="1" si="41"/>
        <v>1.8177349556313274</v>
      </c>
      <c r="U162" s="11">
        <f t="shared" ca="1" si="41"/>
        <v>3.3041603689240238</v>
      </c>
      <c r="V162" s="11">
        <f t="shared" ca="1" si="40"/>
        <v>61.802988491465129</v>
      </c>
    </row>
    <row r="163" spans="1:22" x14ac:dyDescent="0.3">
      <c r="A163" s="104">
        <f t="shared" ca="1" si="33"/>
        <v>4.108754697628954</v>
      </c>
      <c r="B163" s="104">
        <f ca="1">IF(A163="","",SMALL(A74:A173,90))</f>
        <v>84.101427757676376</v>
      </c>
      <c r="C163" s="104">
        <f>'FALL 3'!C163</f>
        <v>90</v>
      </c>
      <c r="D163" s="104">
        <f ca="1">IF(C163=0,"",(B163*0.01*(K77-K78)+K78))</f>
        <v>83.41939930371322</v>
      </c>
      <c r="E163" s="104"/>
      <c r="F163" s="104">
        <f ca="1">IF(D163="","",((LN(D163/(100-D163)))-B50)/B51)</f>
        <v>34.114217683533468</v>
      </c>
      <c r="G163" s="104">
        <f t="shared" ca="1" si="31"/>
        <v>83.41939930371322</v>
      </c>
      <c r="H163" s="103" t="str">
        <f ca="1">IF(I176=C163,I163,"")</f>
        <v/>
      </c>
      <c r="I163" s="104">
        <f t="shared" ca="1" si="34"/>
        <v>34.1</v>
      </c>
      <c r="J163" s="104"/>
      <c r="K163" s="104"/>
      <c r="L163" s="104">
        <f ca="1">'FALL 6'!L163</f>
        <v>44.855000000000011</v>
      </c>
      <c r="M163" s="104">
        <f t="shared" ca="1" si="32"/>
        <v>34.1</v>
      </c>
      <c r="N163" s="104">
        <f t="shared" ca="1" si="35"/>
        <v>1162.8100000000002</v>
      </c>
      <c r="O163" s="104">
        <f ca="1">IF(M163="","",(LN((((2*B46)/(L162+L185))-1)^-1)))</f>
        <v>1.9000922025031419</v>
      </c>
      <c r="P163" s="104">
        <f t="shared" ca="1" si="36"/>
        <v>3.6103503780132411</v>
      </c>
      <c r="Q163" s="104">
        <f t="shared" ca="1" si="37"/>
        <v>64.793144105357143</v>
      </c>
      <c r="R163" s="11">
        <f t="shared" ca="1" si="38"/>
        <v>34</v>
      </c>
      <c r="S163" s="11">
        <f t="shared" ca="1" si="39"/>
        <v>1156</v>
      </c>
      <c r="T163" s="11">
        <f t="shared" ca="1" si="41"/>
        <v>1.9000922025031419</v>
      </c>
      <c r="U163" s="11">
        <f t="shared" ca="1" si="41"/>
        <v>3.6103503780132411</v>
      </c>
      <c r="V163" s="11">
        <f t="shared" ca="1" si="40"/>
        <v>64.603134885106826</v>
      </c>
    </row>
    <row r="164" spans="1:22" x14ac:dyDescent="0.3">
      <c r="A164" s="104">
        <f t="shared" ca="1" si="33"/>
        <v>62.928122864171847</v>
      </c>
      <c r="B164" s="104">
        <f ca="1">IF(A164="","",SMALL(A74:A173,91))</f>
        <v>84.956127540402406</v>
      </c>
      <c r="C164" s="104">
        <f>'FALL 3'!C164</f>
        <v>91</v>
      </c>
      <c r="D164" s="104">
        <f ca="1">IF(C164=0,"",(B164*0.01*(K77-K78)+K78))</f>
        <v>84.257005093320913</v>
      </c>
      <c r="E164" s="104"/>
      <c r="F164" s="104">
        <f ca="1">IF(D164="","",((LN(D164/(100-D164)))-B50)/B51)</f>
        <v>34.443872464187159</v>
      </c>
      <c r="G164" s="104">
        <f t="shared" ca="1" si="31"/>
        <v>84.257005093320913</v>
      </c>
      <c r="H164" s="103" t="str">
        <f ca="1">IF(I176=C164,I164,"")</f>
        <v/>
      </c>
      <c r="I164" s="104">
        <f t="shared" ca="1" si="34"/>
        <v>34.4</v>
      </c>
      <c r="J164" s="104"/>
      <c r="K164" s="104"/>
      <c r="L164" s="104">
        <f ca="1">'FALL 6'!L164</f>
        <v>45.345000000000013</v>
      </c>
      <c r="M164" s="104">
        <f t="shared" ca="1" si="32"/>
        <v>34.4</v>
      </c>
      <c r="N164" s="104">
        <f t="shared" ca="1" si="35"/>
        <v>1183.3599999999999</v>
      </c>
      <c r="O164" s="104">
        <f ca="1">IF(M164="","",(LN((((2*B46)/(L163+L185))-1)^-1)))</f>
        <v>1.9877963219932619</v>
      </c>
      <c r="P164" s="104">
        <f t="shared" ca="1" si="36"/>
        <v>3.95133421772994</v>
      </c>
      <c r="Q164" s="104">
        <f t="shared" ca="1" si="37"/>
        <v>68.380193476568209</v>
      </c>
      <c r="R164" s="11">
        <f t="shared" ca="1" si="38"/>
        <v>34</v>
      </c>
      <c r="S164" s="11">
        <f t="shared" ca="1" si="39"/>
        <v>1156</v>
      </c>
      <c r="T164" s="11">
        <f t="shared" ca="1" si="41"/>
        <v>1.9877963219932619</v>
      </c>
      <c r="U164" s="11">
        <f t="shared" ca="1" si="41"/>
        <v>3.95133421772994</v>
      </c>
      <c r="V164" s="11">
        <f t="shared" ca="1" si="40"/>
        <v>67.585074947770906</v>
      </c>
    </row>
    <row r="165" spans="1:22" x14ac:dyDescent="0.3">
      <c r="A165" s="104">
        <f t="shared" ca="1" si="33"/>
        <v>67.297559690784823</v>
      </c>
      <c r="B165" s="104">
        <f ca="1">IF(A165="","",SMALL(A74:A173,92))</f>
        <v>85.722191857154883</v>
      </c>
      <c r="C165" s="104">
        <f>'FALL 3'!C165</f>
        <v>92</v>
      </c>
      <c r="D165" s="104">
        <f ca="1">(IF(C165=0,"",B165*0.01*(K77-K78)+K78))</f>
        <v>85.007748126011506</v>
      </c>
      <c r="E165" s="104"/>
      <c r="F165" s="104">
        <f ca="1">IF(D165="","",((LN(D165/(100-D165)))-B50)/B51)</f>
        <v>34.751688221571399</v>
      </c>
      <c r="G165" s="104">
        <f t="shared" ca="1" si="31"/>
        <v>85.007748126011506</v>
      </c>
      <c r="H165" s="103" t="str">
        <f ca="1">IF(I176=C165,I165,"")</f>
        <v/>
      </c>
      <c r="I165" s="104">
        <f t="shared" ca="1" si="34"/>
        <v>34.799999999999997</v>
      </c>
      <c r="J165" s="104"/>
      <c r="K165" s="104"/>
      <c r="L165" s="104">
        <f ca="1">'FALL 6'!L165</f>
        <v>45.835000000000015</v>
      </c>
      <c r="M165" s="104">
        <f t="shared" ca="1" si="32"/>
        <v>34.799999999999997</v>
      </c>
      <c r="N165" s="104">
        <f t="shared" ca="1" si="35"/>
        <v>1211.0399999999997</v>
      </c>
      <c r="O165" s="104">
        <f ca="1">IF(M165="","",(LN((((2*B46)/(L164+L185))-1)^-1)))</f>
        <v>2.0817598073314625</v>
      </c>
      <c r="P165" s="104">
        <f t="shared" ca="1" si="36"/>
        <v>4.3337238954207278</v>
      </c>
      <c r="Q165" s="104">
        <f t="shared" ca="1" si="37"/>
        <v>72.445241295134892</v>
      </c>
      <c r="R165" s="11">
        <f t="shared" ca="1" si="38"/>
        <v>35</v>
      </c>
      <c r="S165" s="11">
        <f t="shared" ca="1" si="39"/>
        <v>1225</v>
      </c>
      <c r="T165" s="11">
        <f t="shared" ca="1" si="41"/>
        <v>2.0817598073314625</v>
      </c>
      <c r="U165" s="11">
        <f t="shared" ca="1" si="41"/>
        <v>4.3337238954207278</v>
      </c>
      <c r="V165" s="11">
        <f t="shared" ca="1" si="40"/>
        <v>72.861593256601182</v>
      </c>
    </row>
    <row r="166" spans="1:22" x14ac:dyDescent="0.3">
      <c r="A166" s="104">
        <f t="shared" ca="1" si="33"/>
        <v>52.259230292799771</v>
      </c>
      <c r="B166" s="104">
        <f ca="1">IF(A166="","",SMALL(A74:A173,93))</f>
        <v>88.570761326036276</v>
      </c>
      <c r="C166" s="104">
        <f>'FALL 3'!C166</f>
        <v>93</v>
      </c>
      <c r="D166" s="104">
        <f ca="1">(IF(C166=0,"",B166*0.01*(K77-K78)+K78))</f>
        <v>87.799346213967937</v>
      </c>
      <c r="E166" s="104"/>
      <c r="F166" s="104">
        <f ca="1">IF(D166="","",((LN(D166/(100-D166)))-B50)/B51)</f>
        <v>36.022539262745966</v>
      </c>
      <c r="G166" s="104">
        <f t="shared" ca="1" si="31"/>
        <v>87.799346213967937</v>
      </c>
      <c r="H166" s="103" t="str">
        <f ca="1">IF(I176=C166,I166,"")</f>
        <v/>
      </c>
      <c r="I166" s="104">
        <f t="shared" ca="1" si="34"/>
        <v>36</v>
      </c>
      <c r="J166" s="104"/>
      <c r="K166" s="104"/>
      <c r="L166" s="104">
        <f ca="1">'FALL 6'!L166</f>
        <v>46.325000000000017</v>
      </c>
      <c r="M166" s="104">
        <f t="shared" ca="1" si="32"/>
        <v>36</v>
      </c>
      <c r="N166" s="104">
        <f t="shared" ca="1" si="35"/>
        <v>1296</v>
      </c>
      <c r="O166" s="104">
        <f ca="1">IF(M166="","",(LN((((2*B46)/(L165+L185))-1)^-1)))</f>
        <v>2.1831428888421551</v>
      </c>
      <c r="P166" s="104">
        <f t="shared" ca="1" si="36"/>
        <v>4.7661128731020703</v>
      </c>
      <c r="Q166" s="104">
        <f t="shared" ca="1" si="37"/>
        <v>78.593143998317586</v>
      </c>
      <c r="R166" s="11">
        <f t="shared" ca="1" si="38"/>
        <v>36</v>
      </c>
      <c r="S166" s="11">
        <f t="shared" ca="1" si="39"/>
        <v>1296</v>
      </c>
      <c r="T166" s="11">
        <f t="shared" ca="1" si="41"/>
        <v>2.1831428888421551</v>
      </c>
      <c r="U166" s="11">
        <f t="shared" ca="1" si="41"/>
        <v>4.7661128731020703</v>
      </c>
      <c r="V166" s="11">
        <f t="shared" ca="1" si="40"/>
        <v>78.593143998317586</v>
      </c>
    </row>
    <row r="167" spans="1:22" x14ac:dyDescent="0.3">
      <c r="A167" s="104">
        <f t="shared" ca="1" si="33"/>
        <v>32.293509215103725</v>
      </c>
      <c r="B167" s="104">
        <f ca="1">IF(A167="","",SMALL(A74:A173,94))</f>
        <v>88.597556145899972</v>
      </c>
      <c r="C167" s="104">
        <f>'FALL 3'!C167</f>
        <v>94</v>
      </c>
      <c r="D167" s="104">
        <f ca="1">(IF(C167=0,"",B167*0.01*(K77-K78)+K78))</f>
        <v>87.825605137513861</v>
      </c>
      <c r="E167" s="104"/>
      <c r="F167" s="104">
        <f ca="1">IF(D167="","",((LN(D167/(100-D167)))-B50)/B51)</f>
        <v>36.035621275762459</v>
      </c>
      <c r="G167" s="104">
        <f t="shared" ca="1" si="31"/>
        <v>87.825605137513861</v>
      </c>
      <c r="H167" s="103" t="str">
        <f ca="1">IF(I176=C167,I167,"")</f>
        <v/>
      </c>
      <c r="I167" s="104">
        <f t="shared" ca="1" si="34"/>
        <v>36</v>
      </c>
      <c r="J167" s="104"/>
      <c r="K167" s="104"/>
      <c r="L167" s="104">
        <f ca="1">'FALL 6'!L167</f>
        <v>46.815000000000019</v>
      </c>
      <c r="M167" s="104">
        <f t="shared" ca="1" si="32"/>
        <v>36</v>
      </c>
      <c r="N167" s="104">
        <f t="shared" ca="1" si="35"/>
        <v>1296</v>
      </c>
      <c r="O167" s="104">
        <f ca="1">IF(M167="","",(LN((((2*B46)/(L166+L185))-1)^-1)))</f>
        <v>2.2934526094307923</v>
      </c>
      <c r="P167" s="104">
        <f t="shared" ca="1" si="36"/>
        <v>5.2599248717049107</v>
      </c>
      <c r="Q167" s="104">
        <f t="shared" ca="1" si="37"/>
        <v>82.564293939508531</v>
      </c>
      <c r="R167" s="11">
        <f t="shared" ca="1" si="38"/>
        <v>36</v>
      </c>
      <c r="S167" s="11">
        <f t="shared" ca="1" si="39"/>
        <v>1296</v>
      </c>
      <c r="T167" s="11">
        <f t="shared" ca="1" si="41"/>
        <v>2.2934526094307923</v>
      </c>
      <c r="U167" s="11">
        <f t="shared" ca="1" si="41"/>
        <v>5.2599248717049107</v>
      </c>
      <c r="V167" s="11">
        <f t="shared" ca="1" si="40"/>
        <v>82.564293939508531</v>
      </c>
    </row>
    <row r="168" spans="1:22" x14ac:dyDescent="0.3">
      <c r="A168" s="104">
        <f t="shared" ca="1" si="33"/>
        <v>84.092662498865408</v>
      </c>
      <c r="B168" s="104">
        <f ca="1">IF(A168="","",SMALL(A74:A173,95))</f>
        <v>92.40315801013071</v>
      </c>
      <c r="C168" s="104">
        <f>'FALL 3'!C168</f>
        <v>95</v>
      </c>
      <c r="D168" s="104">
        <f ca="1">IF(C168=0,"",(B168*0.01*(K77-K78)+K78))</f>
        <v>91.555094975752496</v>
      </c>
      <c r="E168" s="104"/>
      <c r="F168" s="104">
        <f ca="1">IF(D168="","",((LN(D168/(100-D168)))-B50)/B51)</f>
        <v>38.207557505490335</v>
      </c>
      <c r="G168" s="104">
        <f t="shared" ca="1" si="31"/>
        <v>91.555094975752496</v>
      </c>
      <c r="H168" s="103" t="str">
        <f ca="1">IF(I176=C168,I168,"")</f>
        <v/>
      </c>
      <c r="I168" s="104">
        <f t="shared" ca="1" si="34"/>
        <v>38.200000000000003</v>
      </c>
      <c r="J168" s="104"/>
      <c r="K168" s="104"/>
      <c r="L168" s="104">
        <f ca="1">'FALL 6'!L168</f>
        <v>47.305000000000021</v>
      </c>
      <c r="M168" s="104">
        <f t="shared" ca="1" si="32"/>
        <v>38.200000000000003</v>
      </c>
      <c r="N168" s="104">
        <f t="shared" ca="1" si="35"/>
        <v>1459.2400000000002</v>
      </c>
      <c r="O168" s="104">
        <f ca="1">IF(M168="","",(LN((((2*B46)/(L167+L185))-1)^-1)))</f>
        <v>2.4146969604494366</v>
      </c>
      <c r="P168" s="104">
        <f t="shared" ca="1" si="36"/>
        <v>5.8307614108037482</v>
      </c>
      <c r="Q168" s="104">
        <f t="shared" ca="1" si="37"/>
        <v>92.241423889168487</v>
      </c>
      <c r="R168" s="11">
        <f t="shared" ca="1" si="38"/>
        <v>38</v>
      </c>
      <c r="S168" s="11">
        <f t="shared" ca="1" si="39"/>
        <v>1444</v>
      </c>
      <c r="T168" s="11">
        <f t="shared" ca="1" si="41"/>
        <v>2.4146969604494366</v>
      </c>
      <c r="U168" s="11">
        <f t="shared" ca="1" si="41"/>
        <v>5.8307614108037482</v>
      </c>
      <c r="V168" s="11">
        <f t="shared" ca="1" si="40"/>
        <v>91.758484497078598</v>
      </c>
    </row>
    <row r="169" spans="1:22" x14ac:dyDescent="0.3">
      <c r="A169" s="104">
        <f t="shared" ca="1" si="33"/>
        <v>83.706814786983671</v>
      </c>
      <c r="B169" s="104">
        <f ca="1">IF(A169="","",SMALL(A74:A173,96))</f>
        <v>93.697289614230485</v>
      </c>
      <c r="C169" s="104">
        <f>'FALL 3'!C169</f>
        <v>96</v>
      </c>
      <c r="D169" s="104">
        <f ca="1">IF(C169=0,"",(B169*0.01*(K77-K78)+K78))</f>
        <v>92.823343951610383</v>
      </c>
      <c r="E169" s="104"/>
      <c r="F169" s="104">
        <f ca="1">IF(D169="","",((LN(D169/(100-D169)))-B50)/B51)</f>
        <v>39.148540864468394</v>
      </c>
      <c r="G169" s="104">
        <f t="shared" ca="1" si="31"/>
        <v>92.823343951610383</v>
      </c>
      <c r="H169" s="103" t="str">
        <f ca="1">IF(I176=C169,I169,"")</f>
        <v/>
      </c>
      <c r="I169" s="104">
        <f t="shared" ca="1" si="34"/>
        <v>39.1</v>
      </c>
      <c r="J169" s="104"/>
      <c r="K169" s="104"/>
      <c r="L169" s="104">
        <f ca="1">'FALL 6'!L169</f>
        <v>47.795000000000023</v>
      </c>
      <c r="M169" s="104">
        <f t="shared" ca="1" si="32"/>
        <v>39.1</v>
      </c>
      <c r="N169" s="104">
        <f t="shared" ca="1" si="35"/>
        <v>1528.8100000000002</v>
      </c>
      <c r="O169" s="104">
        <f ca="1">IF(M169="","",(LN((((2*B46)/(L168+L185))-1)^-1)))</f>
        <v>2.5496354437562676</v>
      </c>
      <c r="P169" s="104">
        <f t="shared" ca="1" si="36"/>
        <v>6.5006408960582194</v>
      </c>
      <c r="Q169" s="104">
        <f t="shared" ca="1" si="37"/>
        <v>99.690745850870073</v>
      </c>
      <c r="R169" s="11">
        <f t="shared" ca="1" si="38"/>
        <v>39</v>
      </c>
      <c r="S169" s="11">
        <f t="shared" ca="1" si="39"/>
        <v>1521</v>
      </c>
      <c r="T169" s="11">
        <f t="shared" ca="1" si="41"/>
        <v>2.5496354437562676</v>
      </c>
      <c r="U169" s="11">
        <f t="shared" ca="1" si="41"/>
        <v>6.5006408960582194</v>
      </c>
      <c r="V169" s="11">
        <f t="shared" ca="1" si="40"/>
        <v>99.435782306494431</v>
      </c>
    </row>
    <row r="170" spans="1:22" x14ac:dyDescent="0.3">
      <c r="A170" s="104">
        <f t="shared" ca="1" si="33"/>
        <v>82.983356054146881</v>
      </c>
      <c r="B170" s="104">
        <f ca="1">IF(A170="","",SMALL(A74:A173,97))</f>
        <v>94.873037875272786</v>
      </c>
      <c r="C170" s="104">
        <f>'FALL 3'!C170</f>
        <v>97</v>
      </c>
      <c r="D170" s="104">
        <f ca="1">IF(C170=0,"",(B170*0.01*(K77-K78)+K78))</f>
        <v>93.975577250920693</v>
      </c>
      <c r="E170" s="104"/>
      <c r="F170" s="104">
        <f ca="1">IF(D170="","",((LN(D170/(100-D170)))-B50)/B51)</f>
        <v>40.147435764443934</v>
      </c>
      <c r="G170" s="104">
        <f t="shared" ca="1" si="31"/>
        <v>93.975577250920693</v>
      </c>
      <c r="H170" s="103" t="str">
        <f ca="1">IF(I176=C170,I170,"")</f>
        <v/>
      </c>
      <c r="I170" s="104">
        <f t="shared" ca="1" si="34"/>
        <v>40.1</v>
      </c>
      <c r="J170" s="104"/>
      <c r="K170" s="104"/>
      <c r="L170" s="104">
        <f ca="1">'FALL 6'!L170</f>
        <v>48.285000000000025</v>
      </c>
      <c r="M170" s="104">
        <f t="shared" ca="1" si="32"/>
        <v>40.1</v>
      </c>
      <c r="N170" s="104">
        <f t="shared" ca="1" si="35"/>
        <v>1608.0100000000002</v>
      </c>
      <c r="O170" s="104">
        <f ca="1">IF(M170="","",(LN((((2*B46)/(L169+L185))-1)^-1)))</f>
        <v>2.7022089411431218</v>
      </c>
      <c r="P170" s="104">
        <f t="shared" ca="1" si="36"/>
        <v>7.3019331615938317</v>
      </c>
      <c r="Q170" s="104">
        <f t="shared" ca="1" si="37"/>
        <v>108.35857853983919</v>
      </c>
      <c r="R170" s="11">
        <f t="shared" ca="1" si="38"/>
        <v>40</v>
      </c>
      <c r="S170" s="11">
        <f t="shared" ca="1" si="39"/>
        <v>1600</v>
      </c>
      <c r="T170" s="11">
        <f t="shared" ca="1" si="41"/>
        <v>2.7022089411431218</v>
      </c>
      <c r="U170" s="11">
        <f t="shared" ca="1" si="41"/>
        <v>7.3019331615938317</v>
      </c>
      <c r="V170" s="11">
        <f t="shared" ca="1" si="40"/>
        <v>108.08835764572487</v>
      </c>
    </row>
    <row r="171" spans="1:22" x14ac:dyDescent="0.3">
      <c r="A171" s="104">
        <f t="shared" ca="1" si="33"/>
        <v>10.019390991590589</v>
      </c>
      <c r="B171" s="104">
        <f ca="1">IF(A171="","",SMALL(A74:A173,98))</f>
        <v>95.560869267518427</v>
      </c>
      <c r="C171" s="104">
        <f>'FALL 3'!C171</f>
        <v>98</v>
      </c>
      <c r="D171" s="104">
        <f ca="1">(IF(C171=0,"",B171*0.01*(K77-K78)+K78))</f>
        <v>94.649652017362442</v>
      </c>
      <c r="E171" s="104"/>
      <c r="F171" s="104">
        <f ca="1">IF(D171="","",((LN(D171/(100-D171)))-B50)/B51)</f>
        <v>40.818208158192718</v>
      </c>
      <c r="G171" s="104">
        <f t="shared" ca="1" si="31"/>
        <v>94.649652017362442</v>
      </c>
      <c r="H171" s="103" t="str">
        <f ca="1">IF(I176=C171,I171,"")</f>
        <v/>
      </c>
      <c r="I171" s="104">
        <f t="shared" ca="1" si="34"/>
        <v>40.799999999999997</v>
      </c>
      <c r="J171" s="104"/>
      <c r="K171" s="104"/>
      <c r="L171" s="104">
        <f ca="1">'FALL 6'!L171</f>
        <v>48.775000000000027</v>
      </c>
      <c r="M171" s="104">
        <f t="shared" ca="1" si="32"/>
        <v>40.799999999999997</v>
      </c>
      <c r="N171" s="104">
        <f t="shared" ca="1" si="35"/>
        <v>1664.6399999999999</v>
      </c>
      <c r="O171" s="104">
        <f ca="1">IF(M171="","",(LN((((2*B46)/(L170+L185))-1)^-1)))</f>
        <v>2.8783290000330188</v>
      </c>
      <c r="P171" s="104">
        <f t="shared" ca="1" si="36"/>
        <v>8.2847778324310788</v>
      </c>
      <c r="Q171" s="104">
        <f t="shared" ca="1" si="37"/>
        <v>117.43582320134716</v>
      </c>
      <c r="R171" s="11">
        <f t="shared" ca="1" si="38"/>
        <v>41</v>
      </c>
      <c r="S171" s="11">
        <f t="shared" ca="1" si="39"/>
        <v>1681</v>
      </c>
      <c r="T171" s="11">
        <f t="shared" ca="1" si="41"/>
        <v>2.8783290000330188</v>
      </c>
      <c r="U171" s="11">
        <f t="shared" ca="1" si="41"/>
        <v>8.2847778324310788</v>
      </c>
      <c r="V171" s="11">
        <f t="shared" ca="1" si="40"/>
        <v>118.01148900135377</v>
      </c>
    </row>
    <row r="172" spans="1:22" x14ac:dyDescent="0.3">
      <c r="A172" s="104">
        <f t="shared" ca="1" si="33"/>
        <v>83.324204734142299</v>
      </c>
      <c r="B172" s="104">
        <f ca="1">IF(A172="","",SMALL(A74:A173,99))</f>
        <v>95.728191869047748</v>
      </c>
      <c r="C172" s="104">
        <f>'FALL 3'!C172</f>
        <v>99</v>
      </c>
      <c r="D172" s="104">
        <f ca="1">IF(C172=0,"",(B172*0.01*(K77-K78)+K78))</f>
        <v>94.813628167357678</v>
      </c>
      <c r="E172" s="104"/>
      <c r="F172" s="104">
        <f ca="1">IF(D172="","",((LN(D172/(100-D172)))-B50)/B51)</f>
        <v>40.993399501352521</v>
      </c>
      <c r="G172" s="104">
        <f t="shared" ca="1" si="31"/>
        <v>94.813628167357678</v>
      </c>
      <c r="H172" s="103" t="str">
        <f ca="1">IF(I176=C172,I172,"")</f>
        <v/>
      </c>
      <c r="I172" s="104">
        <f t="shared" ca="1" si="34"/>
        <v>41</v>
      </c>
      <c r="J172" s="104"/>
      <c r="K172" s="104"/>
      <c r="L172" s="104">
        <f ca="1">'FALL 6'!L172</f>
        <v>49.265000000000029</v>
      </c>
      <c r="M172" s="104">
        <f t="shared" ca="1" si="32"/>
        <v>41</v>
      </c>
      <c r="N172" s="104">
        <f t="shared" ca="1" si="35"/>
        <v>1681</v>
      </c>
      <c r="O172" s="104">
        <f ca="1">IF(M172="","",(LN((((2*B46)/(L171+L185))-1)^-1)))</f>
        <v>3.0874609708910157</v>
      </c>
      <c r="P172" s="104">
        <f t="shared" ca="1" si="36"/>
        <v>9.5324152467752938</v>
      </c>
      <c r="Q172" s="104">
        <f t="shared" ca="1" si="37"/>
        <v>126.58589980653164</v>
      </c>
      <c r="R172" s="11">
        <f t="shared" ca="1" si="38"/>
        <v>41</v>
      </c>
      <c r="S172" s="11">
        <f t="shared" ca="1" si="39"/>
        <v>1681</v>
      </c>
      <c r="T172" s="11">
        <f t="shared" ca="1" si="41"/>
        <v>3.0874609708910157</v>
      </c>
      <c r="U172" s="11">
        <f t="shared" ca="1" si="41"/>
        <v>9.5324152467752938</v>
      </c>
      <c r="V172" s="11">
        <f t="shared" ca="1" si="40"/>
        <v>126.58589980653164</v>
      </c>
    </row>
    <row r="173" spans="1:22" x14ac:dyDescent="0.3">
      <c r="A173" s="104">
        <f t="shared" ca="1" si="33"/>
        <v>51.207805360416671</v>
      </c>
      <c r="B173" s="104">
        <f ca="1">IF(A173="","",SMALL(A74:A173,100))</f>
        <v>95.738839918599382</v>
      </c>
      <c r="C173" s="104">
        <f>'FALL 3'!C173</f>
        <v>100</v>
      </c>
      <c r="D173" s="104">
        <f ca="1">IF(C173=0,"",(B173*0.01*(K77-K78)+K78))</f>
        <v>94.824063255949866</v>
      </c>
      <c r="E173" s="104"/>
      <c r="F173" s="104">
        <f ca="1">IF(D173="","",((LN(D173/(100-D173)))-B50)/B51)</f>
        <v>41.004724660598605</v>
      </c>
      <c r="G173" s="104">
        <f t="shared" ca="1" si="31"/>
        <v>94.824063255949866</v>
      </c>
      <c r="H173" s="103" t="str">
        <f ca="1">IF(I176=C173,I173,"")</f>
        <v/>
      </c>
      <c r="I173" s="104">
        <f t="shared" ca="1" si="34"/>
        <v>41</v>
      </c>
      <c r="J173" s="104"/>
      <c r="K173" s="104"/>
      <c r="L173" s="104">
        <f ca="1">'FALL 6'!L173</f>
        <v>49.755000000000031</v>
      </c>
      <c r="M173" s="104">
        <f t="shared" ca="1" si="32"/>
        <v>41</v>
      </c>
      <c r="N173" s="104">
        <f t="shared" ca="1" si="35"/>
        <v>1681</v>
      </c>
      <c r="O173" s="104">
        <f ca="1">IF(M173="","",(LN((((2*B46)/(L172+L185))-1)^-1)))</f>
        <v>3.3462064763756727</v>
      </c>
      <c r="P173" s="104">
        <f t="shared" ca="1" si="36"/>
        <v>11.197097782538496</v>
      </c>
      <c r="Q173" s="104">
        <f ca="1">IF(M173="","",(M173*O173))</f>
        <v>137.19446553140259</v>
      </c>
      <c r="R173" s="11">
        <f t="shared" ca="1" si="38"/>
        <v>41</v>
      </c>
      <c r="S173" s="11">
        <f t="shared" ca="1" si="39"/>
        <v>1681</v>
      </c>
      <c r="T173" s="11">
        <f t="shared" ca="1" si="41"/>
        <v>3.3462064763756727</v>
      </c>
      <c r="U173" s="11">
        <f t="shared" ca="1" si="41"/>
        <v>11.197097782538496</v>
      </c>
      <c r="V173" s="11">
        <f t="shared" ca="1" si="40"/>
        <v>137.19446553140259</v>
      </c>
    </row>
    <row r="174" spans="1:22" x14ac:dyDescent="0.3">
      <c r="A174" s="100"/>
      <c r="B174" s="100"/>
      <c r="C174" s="109"/>
      <c r="D174" s="104"/>
      <c r="E174" s="100"/>
      <c r="F174" s="100"/>
      <c r="G174" s="104"/>
      <c r="H174" s="104"/>
      <c r="I174" s="104"/>
      <c r="J174" s="104"/>
      <c r="K174" s="104"/>
      <c r="L174" s="104"/>
      <c r="M174" s="104"/>
      <c r="N174" s="104"/>
      <c r="O174" s="104"/>
      <c r="P174" s="104"/>
      <c r="Q174" s="104"/>
      <c r="R174" s="11"/>
      <c r="S174" s="11"/>
      <c r="T174" s="11"/>
      <c r="U174" s="11"/>
      <c r="V174" s="11"/>
    </row>
    <row r="175" spans="1:22" x14ac:dyDescent="0.3">
      <c r="A175" s="104"/>
      <c r="B175" s="104"/>
      <c r="C175" s="109"/>
      <c r="D175" s="104"/>
      <c r="E175" s="104"/>
      <c r="F175" s="100"/>
      <c r="G175" s="104"/>
      <c r="H175" s="104"/>
      <c r="I175" s="104"/>
      <c r="J175" s="104"/>
      <c r="K175" s="103"/>
      <c r="L175" s="103"/>
      <c r="M175" s="104"/>
      <c r="N175" s="104"/>
      <c r="O175" s="104"/>
      <c r="P175" s="104"/>
      <c r="Q175" s="104"/>
      <c r="R175" s="11"/>
      <c r="S175" s="11"/>
      <c r="T175" s="11"/>
      <c r="U175" s="11"/>
      <c r="V175" s="11"/>
    </row>
    <row r="176" spans="1:22" x14ac:dyDescent="0.3">
      <c r="A176" s="104"/>
      <c r="B176" s="104"/>
      <c r="C176" s="110"/>
      <c r="D176" s="104"/>
      <c r="E176" s="104"/>
      <c r="F176" s="104"/>
      <c r="G176" s="100"/>
      <c r="H176" s="103">
        <f ca="1">MAX(H74:H173)</f>
        <v>31.1</v>
      </c>
      <c r="I176" s="103">
        <f ca="1">ROUND(RAND()*(99-1)+1,0)</f>
        <v>80</v>
      </c>
      <c r="J176" s="100"/>
      <c r="K176" s="100"/>
      <c r="L176" s="100"/>
      <c r="M176" s="100"/>
      <c r="N176" s="100"/>
      <c r="O176" s="100"/>
      <c r="P176" s="100"/>
      <c r="Q176" s="100"/>
    </row>
    <row r="177" spans="1:18" x14ac:dyDescent="0.3">
      <c r="A177" s="104"/>
      <c r="B177" s="104"/>
      <c r="C177" s="104"/>
      <c r="D177" s="104"/>
      <c r="E177" s="104"/>
      <c r="F177" s="104"/>
      <c r="G177" s="100"/>
      <c r="H177" s="100"/>
      <c r="I177" s="100"/>
      <c r="J177" s="100"/>
      <c r="K177" s="100"/>
      <c r="L177" s="100"/>
      <c r="M177" s="100"/>
      <c r="N177" s="100"/>
      <c r="O177" s="100"/>
      <c r="P177" s="100"/>
      <c r="Q177" s="100"/>
    </row>
    <row r="178" spans="1:18" x14ac:dyDescent="0.3">
      <c r="A178" s="104"/>
      <c r="B178" s="104"/>
      <c r="C178" s="104"/>
      <c r="D178" s="104"/>
      <c r="E178" s="104"/>
      <c r="F178" s="104"/>
      <c r="G178" s="100"/>
      <c r="H178" s="100"/>
      <c r="I178" s="100"/>
      <c r="J178" s="100"/>
      <c r="K178" s="100"/>
      <c r="L178" s="100"/>
      <c r="M178" s="100"/>
      <c r="N178" s="100"/>
      <c r="O178" s="100"/>
      <c r="P178" s="100"/>
      <c r="Q178" s="100"/>
    </row>
    <row r="179" spans="1:18" x14ac:dyDescent="0.3">
      <c r="A179" s="104"/>
      <c r="B179" s="104"/>
      <c r="C179" s="104"/>
      <c r="D179" s="104"/>
      <c r="E179" s="104"/>
      <c r="F179" s="104"/>
      <c r="G179" s="100"/>
      <c r="H179" s="100"/>
      <c r="I179" s="100"/>
      <c r="J179" s="100"/>
      <c r="K179" s="100"/>
      <c r="L179" s="100"/>
      <c r="M179" s="100"/>
      <c r="N179" s="100"/>
      <c r="O179" s="100"/>
      <c r="P179" s="100"/>
      <c r="Q179" s="100"/>
    </row>
    <row r="180" spans="1:18" ht="21" x14ac:dyDescent="0.4">
      <c r="A180" s="112"/>
      <c r="B180" s="104"/>
      <c r="C180" s="100"/>
      <c r="D180" s="100"/>
      <c r="E180" s="104"/>
      <c r="F180" s="103"/>
      <c r="G180" s="100"/>
      <c r="H180" s="100"/>
      <c r="I180" s="100"/>
      <c r="J180" s="100"/>
      <c r="K180" s="100"/>
      <c r="L180" s="100"/>
      <c r="M180" s="100"/>
      <c r="N180" s="100"/>
      <c r="O180" s="100"/>
      <c r="P180" s="100"/>
      <c r="Q180" s="100"/>
    </row>
    <row r="181" spans="1:18" x14ac:dyDescent="0.3">
      <c r="A181" s="104"/>
      <c r="B181" s="104"/>
      <c r="C181" s="100"/>
      <c r="D181" s="109"/>
      <c r="E181" s="104"/>
      <c r="F181" s="104"/>
      <c r="G181" s="100"/>
      <c r="H181" s="100"/>
      <c r="I181" s="100"/>
      <c r="J181" s="100"/>
      <c r="K181" s="100"/>
      <c r="L181" s="100"/>
      <c r="M181" s="100"/>
      <c r="N181" s="100"/>
      <c r="O181" s="100"/>
      <c r="P181" s="100"/>
      <c r="Q181" s="100"/>
    </row>
    <row r="182" spans="1:18" x14ac:dyDescent="0.3">
      <c r="A182" s="104"/>
      <c r="B182" s="104"/>
      <c r="C182" s="100"/>
      <c r="D182" s="109"/>
      <c r="E182" s="104"/>
      <c r="F182" s="104"/>
      <c r="G182" s="100"/>
      <c r="H182" s="100"/>
      <c r="I182" s="100"/>
      <c r="J182" s="100"/>
      <c r="K182" s="100"/>
      <c r="L182" s="100"/>
      <c r="M182" s="100"/>
      <c r="N182" s="100"/>
      <c r="O182" s="100"/>
      <c r="P182" s="100"/>
      <c r="Q182" s="100"/>
    </row>
    <row r="183" spans="1:18" x14ac:dyDescent="0.3">
      <c r="A183" s="104"/>
      <c r="B183" s="104"/>
      <c r="C183" s="100"/>
      <c r="D183" s="109"/>
      <c r="E183" s="104"/>
      <c r="F183" s="104"/>
      <c r="G183" s="100"/>
      <c r="H183" s="100"/>
      <c r="I183" s="100"/>
      <c r="J183" s="100"/>
      <c r="K183" s="100"/>
      <c r="L183" s="102"/>
      <c r="M183" s="102"/>
      <c r="N183" s="100"/>
      <c r="O183" s="100"/>
      <c r="P183" s="100"/>
      <c r="Q183" s="102"/>
      <c r="R183" s="51"/>
    </row>
    <row r="184" spans="1:18" x14ac:dyDescent="0.3">
      <c r="A184" s="104"/>
      <c r="B184" s="104"/>
      <c r="C184" s="104"/>
      <c r="D184" s="104"/>
      <c r="E184" s="104"/>
      <c r="F184" s="104"/>
      <c r="G184" s="100"/>
      <c r="H184" s="100"/>
      <c r="I184" s="100"/>
      <c r="J184" s="100"/>
      <c r="K184" s="100"/>
      <c r="L184" s="100"/>
      <c r="M184" s="100"/>
      <c r="N184" s="100"/>
      <c r="O184" s="100"/>
      <c r="P184" s="100"/>
      <c r="Q184" s="100"/>
    </row>
    <row r="185" spans="1:18" x14ac:dyDescent="0.3">
      <c r="A185" s="104"/>
      <c r="B185" s="104"/>
      <c r="C185" s="104"/>
      <c r="D185" s="104"/>
      <c r="E185" s="104"/>
      <c r="F185" s="104"/>
      <c r="G185" s="100"/>
      <c r="H185" s="100"/>
      <c r="I185" s="100"/>
      <c r="J185" s="100"/>
      <c r="K185" s="103"/>
      <c r="L185" s="103"/>
      <c r="M185" s="100"/>
      <c r="N185" s="100"/>
      <c r="O185" s="100"/>
      <c r="P185" s="100"/>
      <c r="Q185" s="100"/>
    </row>
    <row r="186" spans="1:18" x14ac:dyDescent="0.3">
      <c r="A186" s="104"/>
      <c r="B186" s="104"/>
      <c r="C186" s="104"/>
      <c r="D186" s="104"/>
      <c r="E186" s="104"/>
      <c r="F186" s="104"/>
      <c r="G186" s="100"/>
      <c r="H186" s="100"/>
      <c r="I186" s="100"/>
      <c r="J186" s="100"/>
      <c r="K186" s="100"/>
      <c r="L186" s="100"/>
      <c r="M186" s="100"/>
      <c r="N186" s="100"/>
      <c r="O186" s="100"/>
      <c r="P186" s="100"/>
      <c r="Q186" s="100"/>
    </row>
    <row r="187" spans="1:18" x14ac:dyDescent="0.3">
      <c r="A187" s="104"/>
      <c r="B187" s="104"/>
      <c r="C187" s="104"/>
      <c r="D187" s="104"/>
      <c r="E187" s="104"/>
      <c r="F187" s="104"/>
      <c r="G187" s="100"/>
      <c r="H187" s="100"/>
      <c r="I187" s="100"/>
      <c r="J187" s="100"/>
      <c r="K187" s="100"/>
      <c r="L187" s="100"/>
      <c r="M187" s="100"/>
      <c r="N187" s="100"/>
      <c r="O187" s="100"/>
      <c r="P187" s="100"/>
      <c r="Q187" s="100"/>
    </row>
    <row r="188" spans="1:18" x14ac:dyDescent="0.3">
      <c r="A188" s="104"/>
      <c r="B188" s="104"/>
      <c r="C188" s="104"/>
      <c r="D188" s="104"/>
      <c r="E188" s="104"/>
      <c r="F188" s="104"/>
      <c r="G188" s="100"/>
      <c r="H188" s="100"/>
      <c r="I188" s="100"/>
      <c r="J188" s="100"/>
      <c r="K188" s="100"/>
      <c r="L188" s="100"/>
      <c r="M188" s="100"/>
      <c r="N188" s="100"/>
      <c r="O188" s="100"/>
      <c r="P188" s="100"/>
      <c r="Q188" s="100"/>
    </row>
    <row r="189" spans="1:18" x14ac:dyDescent="0.3">
      <c r="A189" s="104"/>
      <c r="B189" s="104"/>
      <c r="C189" s="104"/>
      <c r="D189" s="104"/>
      <c r="E189" s="104"/>
      <c r="F189" s="104"/>
      <c r="G189" s="100"/>
      <c r="H189" s="100"/>
      <c r="I189" s="100"/>
      <c r="J189" s="100"/>
      <c r="K189" s="100"/>
      <c r="L189" s="100"/>
      <c r="M189" s="100"/>
      <c r="N189" s="100"/>
      <c r="O189" s="100"/>
      <c r="P189" s="100"/>
      <c r="Q189" s="100"/>
    </row>
    <row r="190" spans="1:18" x14ac:dyDescent="0.3">
      <c r="A190" s="104"/>
      <c r="B190" s="104"/>
      <c r="C190" s="104"/>
      <c r="D190" s="104"/>
      <c r="E190" s="104"/>
      <c r="F190" s="104"/>
      <c r="G190" s="100"/>
      <c r="H190" s="100"/>
      <c r="I190" s="100"/>
      <c r="J190" s="100"/>
      <c r="K190" s="100"/>
      <c r="L190" s="100"/>
      <c r="M190" s="100"/>
      <c r="N190" s="100"/>
      <c r="O190" s="100"/>
      <c r="P190" s="100"/>
      <c r="Q190" s="100"/>
    </row>
    <row r="191" spans="1:18" x14ac:dyDescent="0.3">
      <c r="A191" s="104"/>
      <c r="B191" s="104"/>
      <c r="C191" s="104"/>
      <c r="D191" s="104"/>
      <c r="E191" s="104"/>
      <c r="F191" s="104"/>
      <c r="G191" s="100"/>
      <c r="H191" s="100"/>
      <c r="I191" s="100"/>
      <c r="J191" s="100"/>
      <c r="K191" s="100"/>
      <c r="L191" s="100"/>
      <c r="M191" s="100"/>
      <c r="N191" s="100"/>
      <c r="O191" s="100"/>
      <c r="P191" s="100"/>
      <c r="Q191" s="100"/>
    </row>
    <row r="192" spans="1:18" x14ac:dyDescent="0.3">
      <c r="A192" s="104"/>
      <c r="B192" s="104"/>
      <c r="C192" s="104"/>
      <c r="D192" s="104"/>
      <c r="E192" s="104"/>
      <c r="F192" s="104"/>
      <c r="G192" s="100"/>
      <c r="H192" s="100"/>
      <c r="I192" s="100"/>
      <c r="J192" s="100"/>
      <c r="K192" s="100"/>
      <c r="L192" s="100"/>
      <c r="M192" s="100"/>
      <c r="N192" s="100"/>
      <c r="O192" s="100"/>
      <c r="P192" s="100"/>
      <c r="Q192" s="100"/>
    </row>
    <row r="193" spans="1:17" x14ac:dyDescent="0.3">
      <c r="A193" s="104"/>
      <c r="B193" s="104"/>
      <c r="C193" s="104"/>
      <c r="D193" s="104"/>
      <c r="E193" s="104"/>
      <c r="F193" s="104"/>
      <c r="G193" s="100"/>
      <c r="H193" s="100"/>
      <c r="I193" s="100"/>
      <c r="J193" s="100"/>
      <c r="K193" s="100"/>
      <c r="L193" s="100"/>
      <c r="M193" s="100"/>
      <c r="N193" s="100"/>
      <c r="O193" s="100"/>
      <c r="P193" s="100"/>
      <c r="Q193" s="100"/>
    </row>
    <row r="194" spans="1:17" x14ac:dyDescent="0.3">
      <c r="A194" s="104"/>
      <c r="B194" s="104"/>
      <c r="C194" s="104"/>
      <c r="D194" s="104"/>
      <c r="E194" s="104"/>
      <c r="F194" s="104"/>
      <c r="G194" s="100"/>
      <c r="H194" s="100"/>
      <c r="I194" s="100"/>
      <c r="J194" s="100"/>
      <c r="K194" s="100"/>
      <c r="L194" s="100"/>
      <c r="M194" s="100"/>
      <c r="N194" s="100"/>
      <c r="O194" s="100"/>
      <c r="P194" s="100"/>
      <c r="Q194" s="100"/>
    </row>
    <row r="195" spans="1:17" x14ac:dyDescent="0.3">
      <c r="A195" s="104"/>
      <c r="B195" s="104"/>
      <c r="C195" s="104"/>
      <c r="D195" s="104"/>
      <c r="E195" s="104"/>
      <c r="F195" s="104"/>
      <c r="G195" s="100"/>
      <c r="H195" s="100"/>
      <c r="I195" s="100"/>
      <c r="J195" s="100"/>
      <c r="K195" s="100"/>
      <c r="L195" s="100"/>
      <c r="M195" s="100"/>
      <c r="N195" s="100"/>
      <c r="O195" s="100"/>
      <c r="P195" s="100"/>
      <c r="Q195" s="100"/>
    </row>
    <row r="196" spans="1:17" x14ac:dyDescent="0.3">
      <c r="A196" s="104"/>
      <c r="B196" s="104"/>
      <c r="C196" s="104"/>
      <c r="D196" s="104"/>
      <c r="E196" s="104"/>
      <c r="F196" s="104"/>
      <c r="G196" s="100"/>
      <c r="H196" s="100"/>
      <c r="I196" s="100"/>
      <c r="J196" s="100"/>
      <c r="K196" s="100"/>
      <c r="L196" s="100"/>
      <c r="M196" s="100"/>
      <c r="N196" s="100"/>
      <c r="O196" s="100"/>
      <c r="P196" s="100"/>
      <c r="Q196" s="100"/>
    </row>
    <row r="197" spans="1:17" x14ac:dyDescent="0.3">
      <c r="A197" s="104"/>
      <c r="B197" s="104"/>
      <c r="C197" s="104"/>
      <c r="D197" s="104"/>
      <c r="E197" s="104"/>
      <c r="F197" s="104"/>
      <c r="G197" s="100"/>
      <c r="H197" s="100"/>
      <c r="I197" s="100"/>
      <c r="J197" s="100"/>
      <c r="K197" s="100"/>
      <c r="L197" s="100"/>
      <c r="M197" s="100"/>
      <c r="N197" s="100"/>
      <c r="O197" s="100"/>
      <c r="P197" s="100"/>
      <c r="Q197" s="100"/>
    </row>
    <row r="198" spans="1:17" x14ac:dyDescent="0.3">
      <c r="A198" s="104"/>
      <c r="B198" s="104"/>
      <c r="C198" s="104"/>
      <c r="D198" s="104"/>
      <c r="E198" s="104"/>
      <c r="F198" s="104"/>
      <c r="G198" s="100"/>
      <c r="H198" s="100"/>
      <c r="I198" s="100"/>
      <c r="J198" s="100"/>
      <c r="K198" s="100"/>
      <c r="L198" s="100"/>
      <c r="M198" s="100"/>
      <c r="N198" s="100"/>
      <c r="O198" s="100"/>
      <c r="P198" s="100"/>
      <c r="Q198" s="100"/>
    </row>
    <row r="199" spans="1:17" x14ac:dyDescent="0.3">
      <c r="A199" s="104"/>
      <c r="B199" s="104"/>
      <c r="C199" s="104"/>
      <c r="D199" s="104"/>
      <c r="E199" s="104"/>
      <c r="F199" s="104"/>
      <c r="G199" s="100"/>
      <c r="H199" s="100"/>
      <c r="I199" s="100"/>
      <c r="J199" s="100"/>
      <c r="K199" s="100"/>
      <c r="L199" s="100"/>
      <c r="M199" s="100"/>
      <c r="N199" s="100"/>
      <c r="O199" s="100"/>
      <c r="P199" s="100"/>
      <c r="Q199" s="100"/>
    </row>
    <row r="200" spans="1:17" x14ac:dyDescent="0.3">
      <c r="A200" s="104"/>
      <c r="B200" s="104"/>
      <c r="C200" s="104"/>
      <c r="D200" s="104"/>
      <c r="E200" s="104"/>
      <c r="F200" s="104"/>
      <c r="G200" s="100"/>
      <c r="H200" s="100"/>
      <c r="I200" s="100"/>
      <c r="J200" s="100"/>
      <c r="K200" s="100"/>
      <c r="L200" s="100"/>
      <c r="M200" s="100"/>
      <c r="N200" s="100"/>
      <c r="O200" s="100"/>
      <c r="P200" s="100"/>
      <c r="Q200" s="100"/>
    </row>
    <row r="201" spans="1:17" x14ac:dyDescent="0.3">
      <c r="A201" s="104"/>
      <c r="B201" s="104"/>
      <c r="C201" s="104"/>
      <c r="D201" s="104"/>
      <c r="E201" s="104"/>
      <c r="F201" s="104"/>
      <c r="G201" s="100"/>
      <c r="H201" s="100"/>
      <c r="I201" s="100"/>
      <c r="J201" s="100"/>
      <c r="K201" s="100"/>
      <c r="L201" s="100"/>
      <c r="M201" s="100"/>
      <c r="N201" s="100"/>
      <c r="O201" s="100"/>
      <c r="P201" s="100"/>
      <c r="Q201" s="100"/>
    </row>
    <row r="202" spans="1:17" x14ac:dyDescent="0.3">
      <c r="A202" s="104"/>
      <c r="B202" s="104"/>
      <c r="C202" s="104"/>
      <c r="D202" s="104"/>
      <c r="E202" s="104"/>
      <c r="F202" s="104"/>
      <c r="G202" s="100"/>
      <c r="H202" s="100"/>
      <c r="I202" s="100"/>
      <c r="J202" s="100"/>
      <c r="K202" s="100"/>
      <c r="L202" s="100"/>
      <c r="M202" s="100"/>
      <c r="N202" s="100"/>
      <c r="O202" s="100"/>
      <c r="P202" s="100"/>
      <c r="Q202" s="100"/>
    </row>
    <row r="203" spans="1:17" x14ac:dyDescent="0.3">
      <c r="A203" s="104"/>
      <c r="B203" s="104"/>
      <c r="C203" s="104"/>
      <c r="D203" s="104"/>
      <c r="E203" s="104"/>
      <c r="F203" s="104"/>
      <c r="G203" s="100"/>
      <c r="H203" s="100"/>
      <c r="I203" s="100"/>
      <c r="J203" s="100"/>
      <c r="K203" s="100"/>
      <c r="L203" s="100"/>
      <c r="M203" s="100"/>
      <c r="N203" s="100"/>
      <c r="O203" s="100"/>
      <c r="P203" s="100"/>
      <c r="Q203" s="100"/>
    </row>
    <row r="204" spans="1:17" x14ac:dyDescent="0.3">
      <c r="A204" s="104"/>
      <c r="B204" s="104"/>
      <c r="C204" s="104"/>
      <c r="D204" s="104"/>
      <c r="E204" s="104"/>
      <c r="F204" s="104"/>
      <c r="G204" s="100"/>
      <c r="H204" s="100"/>
      <c r="I204" s="100"/>
      <c r="J204" s="100"/>
      <c r="K204" s="100"/>
      <c r="L204" s="100"/>
      <c r="M204" s="100"/>
      <c r="N204" s="100"/>
      <c r="O204" s="100"/>
      <c r="P204" s="100"/>
      <c r="Q204" s="100"/>
    </row>
    <row r="205" spans="1:17" x14ac:dyDescent="0.3">
      <c r="A205" s="104"/>
      <c r="B205" s="104"/>
      <c r="C205" s="104"/>
      <c r="D205" s="104"/>
      <c r="E205" s="104"/>
      <c r="F205" s="104"/>
      <c r="G205" s="100"/>
      <c r="H205" s="100"/>
      <c r="I205" s="100"/>
      <c r="J205" s="100"/>
      <c r="K205" s="100"/>
      <c r="L205" s="100"/>
      <c r="M205" s="100"/>
      <c r="N205" s="100"/>
      <c r="O205" s="100"/>
      <c r="P205" s="100"/>
      <c r="Q205" s="100"/>
    </row>
    <row r="206" spans="1:17" x14ac:dyDescent="0.3">
      <c r="A206" s="104"/>
      <c r="B206" s="104"/>
      <c r="C206" s="104"/>
      <c r="D206" s="104"/>
      <c r="E206" s="104"/>
      <c r="F206" s="104"/>
      <c r="G206" s="100"/>
      <c r="H206" s="100"/>
      <c r="I206" s="100"/>
      <c r="J206" s="100"/>
      <c r="K206" s="100"/>
      <c r="L206" s="100"/>
      <c r="M206" s="100"/>
      <c r="N206" s="100"/>
      <c r="O206" s="100"/>
      <c r="P206" s="100"/>
      <c r="Q206" s="100"/>
    </row>
    <row r="207" spans="1:17" x14ac:dyDescent="0.3">
      <c r="A207" s="104"/>
      <c r="B207" s="104"/>
      <c r="C207" s="104"/>
      <c r="D207" s="104"/>
      <c r="E207" s="104"/>
      <c r="F207" s="104"/>
      <c r="G207" s="100"/>
      <c r="H207" s="100"/>
      <c r="I207" s="100"/>
      <c r="J207" s="100"/>
      <c r="K207" s="100"/>
      <c r="L207" s="100"/>
      <c r="M207" s="100"/>
      <c r="N207" s="100"/>
      <c r="O207" s="100"/>
      <c r="P207" s="100"/>
      <c r="Q207" s="100"/>
    </row>
    <row r="208" spans="1:17" x14ac:dyDescent="0.3">
      <c r="A208" s="104"/>
      <c r="B208" s="104"/>
      <c r="C208" s="104"/>
      <c r="D208" s="104"/>
      <c r="E208" s="104"/>
      <c r="F208" s="104"/>
      <c r="G208" s="100"/>
      <c r="H208" s="100"/>
      <c r="I208" s="100"/>
      <c r="J208" s="100"/>
      <c r="K208" s="100"/>
      <c r="L208" s="100"/>
      <c r="M208" s="100"/>
      <c r="N208" s="100"/>
      <c r="O208" s="100"/>
      <c r="P208" s="100"/>
      <c r="Q208" s="100"/>
    </row>
    <row r="209" spans="1:17" x14ac:dyDescent="0.3">
      <c r="A209" s="104"/>
      <c r="B209" s="104"/>
      <c r="C209" s="104"/>
      <c r="D209" s="104"/>
      <c r="E209" s="104"/>
      <c r="F209" s="104"/>
      <c r="G209" s="100"/>
      <c r="H209" s="100"/>
      <c r="I209" s="100"/>
      <c r="J209" s="100"/>
      <c r="K209" s="100"/>
      <c r="L209" s="100"/>
      <c r="M209" s="100"/>
      <c r="N209" s="100"/>
      <c r="O209" s="100"/>
      <c r="P209" s="100"/>
      <c r="Q209" s="100"/>
    </row>
    <row r="210" spans="1:17" x14ac:dyDescent="0.3">
      <c r="A210" s="104"/>
      <c r="B210" s="104"/>
      <c r="C210" s="104"/>
      <c r="D210" s="104"/>
      <c r="E210" s="104"/>
      <c r="F210" s="104"/>
      <c r="G210" s="100"/>
      <c r="H210" s="100"/>
      <c r="I210" s="100"/>
      <c r="J210" s="100"/>
      <c r="K210" s="100"/>
      <c r="L210" s="100"/>
      <c r="M210" s="100"/>
      <c r="N210" s="100"/>
      <c r="O210" s="100"/>
      <c r="P210" s="100"/>
      <c r="Q210" s="100"/>
    </row>
    <row r="211" spans="1:17" x14ac:dyDescent="0.3">
      <c r="A211" s="104"/>
      <c r="B211" s="104"/>
      <c r="C211" s="104"/>
      <c r="D211" s="104"/>
      <c r="E211" s="104"/>
      <c r="F211" s="104"/>
      <c r="G211" s="100"/>
      <c r="H211" s="100"/>
      <c r="I211" s="100"/>
      <c r="J211" s="100"/>
      <c r="K211" s="100"/>
      <c r="L211" s="100"/>
      <c r="M211" s="100"/>
      <c r="N211" s="100"/>
      <c r="O211" s="100"/>
      <c r="P211" s="100"/>
      <c r="Q211" s="100"/>
    </row>
    <row r="212" spans="1:17" x14ac:dyDescent="0.3">
      <c r="A212" s="104"/>
      <c r="B212" s="104"/>
      <c r="C212" s="104"/>
      <c r="D212" s="104"/>
      <c r="E212" s="104"/>
      <c r="F212" s="104"/>
      <c r="G212" s="100"/>
      <c r="H212" s="100"/>
      <c r="I212" s="100"/>
      <c r="J212" s="100"/>
      <c r="K212" s="100"/>
      <c r="L212" s="100"/>
      <c r="M212" s="100"/>
      <c r="N212" s="100"/>
      <c r="O212" s="100"/>
      <c r="P212" s="100"/>
      <c r="Q212" s="100"/>
    </row>
    <row r="213" spans="1:17" x14ac:dyDescent="0.3">
      <c r="A213" s="104"/>
      <c r="B213" s="104"/>
      <c r="C213" s="104"/>
      <c r="D213" s="104"/>
      <c r="E213" s="104"/>
      <c r="F213" s="104"/>
      <c r="G213" s="100"/>
      <c r="H213" s="100"/>
      <c r="I213" s="100"/>
      <c r="J213" s="100"/>
      <c r="K213" s="100"/>
      <c r="L213" s="100"/>
      <c r="M213" s="100"/>
      <c r="N213" s="100"/>
      <c r="O213" s="100"/>
      <c r="P213" s="100"/>
      <c r="Q213" s="100"/>
    </row>
    <row r="214" spans="1:17" x14ac:dyDescent="0.3">
      <c r="A214" s="104"/>
      <c r="B214" s="104"/>
      <c r="C214" s="104"/>
      <c r="D214" s="104"/>
      <c r="E214" s="104"/>
      <c r="F214" s="104"/>
      <c r="G214" s="100"/>
      <c r="H214" s="100"/>
      <c r="I214" s="100"/>
      <c r="J214" s="100"/>
      <c r="K214" s="100"/>
      <c r="L214" s="100"/>
      <c r="M214" s="100"/>
      <c r="N214" s="100"/>
      <c r="O214" s="100"/>
      <c r="P214" s="100"/>
      <c r="Q214" s="100"/>
    </row>
    <row r="215" spans="1:17" x14ac:dyDescent="0.3">
      <c r="A215" s="104"/>
      <c r="B215" s="104"/>
      <c r="C215" s="104"/>
      <c r="D215" s="104"/>
      <c r="E215" s="104"/>
      <c r="F215" s="104"/>
      <c r="G215" s="100"/>
      <c r="H215" s="100"/>
      <c r="I215" s="100"/>
      <c r="J215" s="100"/>
      <c r="K215" s="100"/>
      <c r="L215" s="100"/>
      <c r="M215" s="100"/>
      <c r="N215" s="100"/>
      <c r="O215" s="100"/>
      <c r="P215" s="100"/>
      <c r="Q215" s="100"/>
    </row>
    <row r="216" spans="1:17" x14ac:dyDescent="0.3">
      <c r="A216" s="104"/>
      <c r="B216" s="104"/>
      <c r="C216" s="104"/>
      <c r="D216" s="104"/>
      <c r="E216" s="104"/>
      <c r="F216" s="104"/>
      <c r="G216" s="100"/>
      <c r="H216" s="100"/>
      <c r="I216" s="100"/>
      <c r="J216" s="100"/>
      <c r="K216" s="100"/>
      <c r="L216" s="100"/>
      <c r="M216" s="100"/>
      <c r="N216" s="100"/>
      <c r="O216" s="100"/>
      <c r="P216" s="100"/>
      <c r="Q216" s="100"/>
    </row>
    <row r="217" spans="1:17" x14ac:dyDescent="0.3">
      <c r="A217" s="104"/>
      <c r="B217" s="104"/>
      <c r="C217" s="104"/>
      <c r="D217" s="104"/>
      <c r="E217" s="104"/>
      <c r="F217" s="104"/>
      <c r="G217" s="100"/>
      <c r="H217" s="100"/>
      <c r="I217" s="100"/>
      <c r="J217" s="100"/>
      <c r="K217" s="100"/>
      <c r="L217" s="100"/>
      <c r="M217" s="100"/>
      <c r="N217" s="100"/>
      <c r="O217" s="100"/>
      <c r="P217" s="100"/>
      <c r="Q217" s="100"/>
    </row>
    <row r="218" spans="1:17" x14ac:dyDescent="0.3">
      <c r="A218" s="11"/>
      <c r="B218" s="11"/>
      <c r="C218" s="11"/>
      <c r="D218" s="11"/>
      <c r="E218" s="11"/>
      <c r="F218" s="11"/>
    </row>
    <row r="219" spans="1:17" x14ac:dyDescent="0.3">
      <c r="A219" s="11"/>
      <c r="B219" s="11"/>
      <c r="C219" s="11"/>
      <c r="D219" s="11"/>
      <c r="E219" s="11"/>
      <c r="F219" s="11"/>
    </row>
    <row r="220" spans="1:17" x14ac:dyDescent="0.3">
      <c r="A220" s="11"/>
      <c r="B220" s="11"/>
      <c r="C220" s="11"/>
      <c r="D220" s="11"/>
      <c r="E220" s="11"/>
      <c r="F220" s="11"/>
    </row>
    <row r="221" spans="1:17" x14ac:dyDescent="0.3">
      <c r="A221" s="11"/>
      <c r="B221" s="11"/>
      <c r="C221" s="11"/>
      <c r="D221" s="11"/>
      <c r="E221" s="11"/>
      <c r="F221" s="11"/>
    </row>
    <row r="222" spans="1:17" x14ac:dyDescent="0.3">
      <c r="A222" s="11"/>
      <c r="B222" s="11"/>
      <c r="C222" s="11"/>
      <c r="D222" s="11"/>
      <c r="E222" s="11"/>
      <c r="F222" s="11"/>
    </row>
    <row r="223" spans="1:17" x14ac:dyDescent="0.3">
      <c r="A223" s="11"/>
      <c r="B223" s="11"/>
      <c r="C223" s="11"/>
      <c r="D223" s="11"/>
      <c r="E223" s="11"/>
      <c r="F223" s="11"/>
    </row>
    <row r="224" spans="1:17" x14ac:dyDescent="0.3">
      <c r="A224" s="11"/>
      <c r="B224" s="11"/>
      <c r="C224" s="11"/>
      <c r="D224" s="11"/>
      <c r="E224" s="11"/>
      <c r="F224" s="11"/>
    </row>
    <row r="225" spans="1:6" x14ac:dyDescent="0.3">
      <c r="A225" s="11"/>
      <c r="B225" s="11"/>
      <c r="C225" s="11"/>
      <c r="D225" s="11"/>
      <c r="E225" s="11"/>
      <c r="F225" s="11"/>
    </row>
    <row r="226" spans="1:6" x14ac:dyDescent="0.3">
      <c r="A226" s="11"/>
      <c r="B226" s="11"/>
      <c r="C226" s="11"/>
      <c r="D226" s="11"/>
      <c r="E226" s="11"/>
      <c r="F226" s="11"/>
    </row>
    <row r="227" spans="1:6" x14ac:dyDescent="0.3">
      <c r="A227" s="11"/>
      <c r="B227" s="11"/>
      <c r="C227" s="11"/>
      <c r="D227" s="11"/>
      <c r="E227" s="11"/>
      <c r="F227" s="11"/>
    </row>
    <row r="228" spans="1:6" x14ac:dyDescent="0.3">
      <c r="A228" s="11"/>
      <c r="B228" s="11"/>
      <c r="C228" s="11"/>
      <c r="D228" s="11"/>
      <c r="E228" s="11"/>
      <c r="F228" s="11"/>
    </row>
    <row r="229" spans="1:6" x14ac:dyDescent="0.3">
      <c r="A229" s="11"/>
      <c r="B229" s="11"/>
      <c r="C229" s="11"/>
      <c r="D229" s="11"/>
      <c r="E229" s="11"/>
      <c r="F229" s="11"/>
    </row>
    <row r="230" spans="1:6" x14ac:dyDescent="0.3">
      <c r="A230" s="11"/>
      <c r="B230" s="11"/>
      <c r="C230" s="11"/>
      <c r="D230" s="11"/>
      <c r="E230" s="11"/>
      <c r="F230" s="11"/>
    </row>
    <row r="231" spans="1:6" x14ac:dyDescent="0.3">
      <c r="A231" s="11"/>
      <c r="B231" s="11"/>
      <c r="C231" s="11"/>
      <c r="D231" s="11"/>
      <c r="E231" s="11"/>
      <c r="F231" s="11"/>
    </row>
    <row r="232" spans="1:6" x14ac:dyDescent="0.3">
      <c r="A232" s="11"/>
      <c r="B232" s="11"/>
      <c r="C232" s="11"/>
      <c r="D232" s="11"/>
      <c r="E232" s="11"/>
      <c r="F232" s="11"/>
    </row>
    <row r="233" spans="1:6" x14ac:dyDescent="0.3">
      <c r="A233" s="11"/>
      <c r="B233" s="11"/>
      <c r="C233" s="11"/>
      <c r="D233" s="11"/>
      <c r="E233" s="11"/>
      <c r="F233" s="11"/>
    </row>
    <row r="234" spans="1:6" x14ac:dyDescent="0.3">
      <c r="A234" s="11"/>
      <c r="B234" s="11"/>
      <c r="C234" s="11"/>
      <c r="D234" s="11"/>
      <c r="E234" s="11"/>
      <c r="F234" s="11"/>
    </row>
    <row r="235" spans="1:6" x14ac:dyDescent="0.3">
      <c r="A235" s="11"/>
      <c r="B235" s="11"/>
      <c r="C235" s="11"/>
      <c r="D235" s="11"/>
      <c r="E235" s="11"/>
      <c r="F235" s="11"/>
    </row>
    <row r="236" spans="1:6" x14ac:dyDescent="0.3">
      <c r="A236" s="11"/>
      <c r="B236" s="11"/>
      <c r="C236" s="11"/>
      <c r="D236" s="11"/>
      <c r="E236" s="11"/>
      <c r="F236" s="11"/>
    </row>
    <row r="237" spans="1:6" x14ac:dyDescent="0.3">
      <c r="A237" s="11"/>
      <c r="B237" s="11"/>
      <c r="C237" s="11"/>
      <c r="D237" s="11"/>
      <c r="E237" s="11"/>
      <c r="F237" s="11"/>
    </row>
    <row r="238" spans="1:6" x14ac:dyDescent="0.3">
      <c r="A238" s="11"/>
      <c r="B238" s="11"/>
      <c r="C238" s="11"/>
      <c r="D238" s="11"/>
      <c r="E238" s="11"/>
      <c r="F238" s="11"/>
    </row>
    <row r="239" spans="1:6" x14ac:dyDescent="0.3">
      <c r="A239" s="11"/>
      <c r="B239" s="11"/>
      <c r="C239" s="11"/>
      <c r="D239" s="11"/>
      <c r="E239" s="11"/>
      <c r="F239" s="11"/>
    </row>
    <row r="240" spans="1:6" x14ac:dyDescent="0.3">
      <c r="A240" s="11"/>
      <c r="B240" s="11"/>
      <c r="C240" s="11"/>
      <c r="D240" s="11"/>
      <c r="E240" s="11"/>
      <c r="F240" s="11"/>
    </row>
    <row r="260" spans="1:1" ht="21" x14ac:dyDescent="0.4">
      <c r="A260" s="48"/>
    </row>
    <row r="340" spans="1:1" ht="21" x14ac:dyDescent="0.4">
      <c r="A340" s="48"/>
    </row>
    <row r="420" spans="1:1" ht="21" x14ac:dyDescent="0.4">
      <c r="A420" s="48"/>
    </row>
    <row r="500" spans="1:1" ht="21" x14ac:dyDescent="0.4">
      <c r="A500" s="48"/>
    </row>
    <row r="580" spans="1:1" ht="21" x14ac:dyDescent="0.4">
      <c r="A580" s="48"/>
    </row>
    <row r="660" spans="1:1" ht="21" x14ac:dyDescent="0.4">
      <c r="A660" s="48"/>
    </row>
    <row r="740" spans="1:1" ht="21" x14ac:dyDescent="0.4">
      <c r="A740" s="48"/>
    </row>
    <row r="820" spans="1:1" ht="21" x14ac:dyDescent="0.4">
      <c r="A820" s="48"/>
    </row>
    <row r="900" spans="1:1" ht="21" x14ac:dyDescent="0.4">
      <c r="A900" s="48"/>
    </row>
    <row r="980" spans="1:1" ht="21" x14ac:dyDescent="0.4">
      <c r="A980" s="48"/>
    </row>
    <row r="1060" spans="1:1" ht="21" x14ac:dyDescent="0.4">
      <c r="A1060" s="48"/>
    </row>
    <row r="1140" spans="1:1" ht="21" x14ac:dyDescent="0.4">
      <c r="A1140" s="48"/>
    </row>
    <row r="1220" spans="1:1" ht="21" x14ac:dyDescent="0.4">
      <c r="A1220" s="48"/>
    </row>
    <row r="1233" spans="7:23" x14ac:dyDescent="0.3">
      <c r="G1233" s="69"/>
      <c r="H1233" s="69"/>
      <c r="I1233" s="69"/>
      <c r="J1233" s="69"/>
      <c r="K1233" s="69"/>
      <c r="L1233" s="69"/>
      <c r="M1233" s="69"/>
      <c r="N1233" s="69"/>
      <c r="O1233" s="69"/>
      <c r="P1233" s="69"/>
      <c r="Q1233" s="69"/>
      <c r="R1233" s="69"/>
      <c r="S1233" s="69"/>
      <c r="T1233" s="69"/>
      <c r="U1233" s="69"/>
      <c r="V1233" s="69"/>
      <c r="W1233" s="69"/>
    </row>
    <row r="1234" spans="7:23" x14ac:dyDescent="0.3">
      <c r="G1234" s="69"/>
      <c r="H1234" s="69"/>
      <c r="I1234" s="69"/>
      <c r="J1234" s="69"/>
      <c r="K1234" s="69"/>
      <c r="L1234" s="69"/>
      <c r="M1234" s="69"/>
      <c r="N1234" s="69"/>
      <c r="O1234" s="69"/>
      <c r="P1234" s="69"/>
      <c r="Q1234" s="69"/>
      <c r="R1234" s="69"/>
      <c r="S1234" s="69"/>
      <c r="T1234" s="69"/>
      <c r="U1234" s="69"/>
      <c r="V1234" s="69"/>
      <c r="W1234" s="69"/>
    </row>
    <row r="1235" spans="7:23" x14ac:dyDescent="0.3">
      <c r="G1235" s="69"/>
      <c r="H1235" s="69"/>
      <c r="I1235" s="69"/>
      <c r="J1235" s="69"/>
      <c r="K1235" s="69"/>
      <c r="L1235" s="69"/>
      <c r="M1235" s="69"/>
      <c r="N1235" s="69"/>
      <c r="O1235" s="69"/>
      <c r="P1235" s="69"/>
      <c r="Q1235" s="69"/>
      <c r="R1235" s="69"/>
      <c r="S1235" s="69"/>
      <c r="T1235" s="69"/>
      <c r="U1235" s="69"/>
      <c r="V1235" s="69"/>
      <c r="W1235" s="69"/>
    </row>
    <row r="1236" spans="7:23" x14ac:dyDescent="0.3">
      <c r="G1236" s="69"/>
      <c r="H1236" s="69"/>
      <c r="I1236" s="69"/>
      <c r="J1236" s="69"/>
      <c r="K1236" s="69"/>
      <c r="L1236" s="69"/>
      <c r="M1236" s="69"/>
      <c r="N1236" s="69"/>
      <c r="O1236" s="69"/>
      <c r="P1236" s="69"/>
      <c r="Q1236" s="69"/>
      <c r="R1236" s="69"/>
      <c r="S1236" s="69"/>
      <c r="T1236" s="69"/>
      <c r="U1236" s="69"/>
      <c r="V1236" s="69"/>
      <c r="W1236" s="69"/>
    </row>
    <row r="1237" spans="7:23" x14ac:dyDescent="0.3">
      <c r="G1237" s="69"/>
      <c r="H1237" s="69"/>
      <c r="I1237" s="69"/>
      <c r="J1237" s="69"/>
      <c r="K1237" s="69"/>
      <c r="L1237" s="69"/>
      <c r="M1237" s="69"/>
      <c r="N1237" s="69"/>
      <c r="O1237" s="69"/>
      <c r="P1237" s="69"/>
      <c r="Q1237" s="69"/>
      <c r="R1237" s="69"/>
      <c r="S1237" s="69"/>
      <c r="T1237" s="69"/>
      <c r="U1237" s="69"/>
      <c r="V1237" s="69"/>
      <c r="W1237" s="69"/>
    </row>
    <row r="1238" spans="7:23" x14ac:dyDescent="0.3">
      <c r="G1238" s="69"/>
      <c r="H1238" s="69"/>
      <c r="I1238" s="69"/>
      <c r="J1238" s="69"/>
      <c r="K1238" s="69"/>
      <c r="L1238" s="69"/>
      <c r="M1238" s="69"/>
      <c r="N1238" s="69"/>
      <c r="O1238" s="69"/>
      <c r="P1238" s="69"/>
      <c r="Q1238" s="69"/>
      <c r="R1238" s="69"/>
      <c r="S1238" s="69"/>
      <c r="T1238" s="69"/>
      <c r="U1238" s="69"/>
      <c r="V1238" s="69"/>
      <c r="W1238" s="69"/>
    </row>
    <row r="1239" spans="7:23" x14ac:dyDescent="0.3">
      <c r="G1239" s="69"/>
      <c r="H1239" s="69"/>
      <c r="I1239" s="69"/>
      <c r="J1239" s="69"/>
      <c r="K1239" s="69"/>
      <c r="L1239" s="69"/>
      <c r="M1239" s="69"/>
      <c r="N1239" s="69"/>
      <c r="O1239" s="69"/>
      <c r="P1239" s="69"/>
      <c r="Q1239" s="69"/>
      <c r="R1239" s="69"/>
      <c r="S1239" s="69"/>
      <c r="T1239" s="69"/>
      <c r="U1239" s="69"/>
      <c r="V1239" s="69"/>
      <c r="W1239" s="69"/>
    </row>
    <row r="1240" spans="7:23" x14ac:dyDescent="0.3">
      <c r="G1240" s="69"/>
      <c r="H1240" s="69"/>
      <c r="I1240" s="69"/>
      <c r="J1240" s="69"/>
      <c r="K1240" s="69"/>
      <c r="L1240" s="69"/>
      <c r="M1240" s="69"/>
      <c r="N1240" s="69"/>
      <c r="O1240" s="69"/>
      <c r="P1240" s="69"/>
      <c r="Q1240" s="69"/>
      <c r="R1240" s="69"/>
      <c r="S1240" s="69"/>
      <c r="T1240" s="69"/>
      <c r="U1240" s="69"/>
      <c r="V1240" s="69"/>
      <c r="W1240" s="69"/>
    </row>
    <row r="1241" spans="7:23" x14ac:dyDescent="0.3">
      <c r="G1241" s="69"/>
      <c r="H1241" s="69"/>
      <c r="I1241" s="69"/>
      <c r="J1241" s="69"/>
      <c r="K1241" s="69"/>
      <c r="L1241" s="69"/>
      <c r="M1241" s="69"/>
      <c r="N1241" s="69"/>
      <c r="O1241" s="69"/>
      <c r="P1241" s="69"/>
      <c r="Q1241" s="69"/>
      <c r="R1241" s="69"/>
      <c r="S1241" s="69"/>
      <c r="T1241" s="69"/>
      <c r="U1241" s="69"/>
      <c r="V1241" s="69"/>
      <c r="W1241" s="69"/>
    </row>
    <row r="1242" spans="7:23" x14ac:dyDescent="0.3">
      <c r="G1242" s="69"/>
      <c r="H1242" s="69"/>
      <c r="I1242" s="69"/>
      <c r="J1242" s="69"/>
      <c r="K1242" s="69"/>
      <c r="L1242" s="69"/>
      <c r="M1242" s="69"/>
      <c r="N1242" s="69"/>
      <c r="O1242" s="69"/>
      <c r="P1242" s="69"/>
      <c r="Q1242" s="69"/>
      <c r="R1242" s="69"/>
      <c r="S1242" s="69"/>
      <c r="T1242" s="69"/>
      <c r="U1242" s="69"/>
      <c r="V1242" s="69"/>
      <c r="W1242" s="69"/>
    </row>
    <row r="1243" spans="7:23" x14ac:dyDescent="0.3">
      <c r="G1243" s="69"/>
      <c r="H1243" s="69"/>
      <c r="I1243" s="69"/>
      <c r="J1243" s="69"/>
      <c r="K1243" s="69"/>
      <c r="L1243" s="69"/>
      <c r="M1243" s="69"/>
      <c r="N1243" s="69"/>
      <c r="O1243" s="69"/>
      <c r="P1243" s="69"/>
      <c r="Q1243" s="69"/>
      <c r="R1243" s="69"/>
      <c r="S1243" s="69"/>
      <c r="T1243" s="69"/>
      <c r="U1243" s="69"/>
      <c r="V1243" s="69"/>
      <c r="W1243" s="69"/>
    </row>
    <row r="1244" spans="7:23" x14ac:dyDescent="0.3">
      <c r="G1244" s="69"/>
      <c r="H1244" s="69"/>
      <c r="I1244" s="69"/>
      <c r="J1244" s="69"/>
      <c r="K1244" s="69"/>
      <c r="L1244" s="69"/>
      <c r="M1244" s="69"/>
      <c r="N1244" s="69"/>
      <c r="O1244" s="69"/>
      <c r="P1244" s="69"/>
      <c r="Q1244" s="69"/>
      <c r="R1244" s="69"/>
      <c r="S1244" s="69"/>
      <c r="T1244" s="69"/>
      <c r="U1244" s="69"/>
      <c r="V1244" s="69"/>
      <c r="W1244" s="69"/>
    </row>
    <row r="1245" spans="7:23" x14ac:dyDescent="0.3">
      <c r="G1245" s="69"/>
      <c r="H1245" s="69"/>
      <c r="I1245" s="69"/>
      <c r="J1245" s="69"/>
      <c r="K1245" s="69"/>
      <c r="L1245" s="69"/>
      <c r="M1245" s="69"/>
      <c r="N1245" s="69"/>
      <c r="O1245" s="69"/>
      <c r="P1245" s="69"/>
      <c r="Q1245" s="69"/>
      <c r="R1245" s="69"/>
      <c r="S1245" s="69"/>
      <c r="T1245" s="69"/>
      <c r="U1245" s="69"/>
      <c r="V1245" s="69"/>
      <c r="W1245" s="69"/>
    </row>
    <row r="1246" spans="7:23" x14ac:dyDescent="0.3">
      <c r="G1246" s="69"/>
      <c r="H1246" s="69"/>
      <c r="I1246" s="69"/>
      <c r="J1246" s="69"/>
      <c r="K1246" s="69"/>
      <c r="L1246" s="69"/>
      <c r="M1246" s="69"/>
      <c r="N1246" s="69"/>
      <c r="O1246" s="69"/>
      <c r="P1246" s="69"/>
      <c r="Q1246" s="69"/>
      <c r="R1246" s="69"/>
      <c r="S1246" s="69"/>
      <c r="T1246" s="69"/>
      <c r="U1246" s="69"/>
      <c r="V1246" s="69"/>
      <c r="W1246" s="69"/>
    </row>
    <row r="1247" spans="7:23" x14ac:dyDescent="0.3">
      <c r="G1247" s="69"/>
      <c r="H1247" s="69"/>
      <c r="I1247" s="69"/>
      <c r="J1247" s="69"/>
      <c r="K1247" s="69"/>
      <c r="L1247" s="69"/>
      <c r="M1247" s="69"/>
      <c r="N1247" s="69"/>
      <c r="O1247" s="69"/>
      <c r="P1247" s="69"/>
      <c r="Q1247" s="69"/>
      <c r="R1247" s="69"/>
      <c r="S1247" s="69"/>
      <c r="T1247" s="69"/>
      <c r="U1247" s="69"/>
      <c r="V1247" s="69"/>
      <c r="W1247" s="69"/>
    </row>
    <row r="1248" spans="7:23" x14ac:dyDescent="0.3">
      <c r="G1248" s="69"/>
      <c r="H1248" s="69"/>
      <c r="I1248" s="69"/>
      <c r="J1248" s="69"/>
      <c r="K1248" s="69"/>
      <c r="L1248" s="69"/>
      <c r="M1248" s="69"/>
      <c r="N1248" s="69"/>
      <c r="O1248" s="69"/>
      <c r="P1248" s="69"/>
      <c r="Q1248" s="69"/>
      <c r="R1248" s="69"/>
      <c r="S1248" s="69"/>
      <c r="T1248" s="69"/>
      <c r="U1248" s="69"/>
      <c r="V1248" s="69"/>
      <c r="W1248" s="69"/>
    </row>
    <row r="1249" spans="7:23" x14ac:dyDescent="0.3">
      <c r="G1249" s="69"/>
      <c r="H1249" s="69"/>
      <c r="I1249" s="69"/>
      <c r="J1249" s="69"/>
      <c r="K1249" s="69"/>
      <c r="L1249" s="69"/>
      <c r="M1249" s="69"/>
      <c r="N1249" s="69"/>
      <c r="O1249" s="69"/>
      <c r="P1249" s="69"/>
      <c r="Q1249" s="69"/>
      <c r="R1249" s="69"/>
      <c r="S1249" s="69"/>
      <c r="T1249" s="69"/>
      <c r="U1249" s="69"/>
      <c r="V1249" s="69"/>
      <c r="W1249" s="69"/>
    </row>
    <row r="1250" spans="7:23" x14ac:dyDescent="0.3">
      <c r="G1250" s="69"/>
      <c r="H1250" s="69"/>
      <c r="I1250" s="69"/>
      <c r="J1250" s="69"/>
      <c r="K1250" s="69"/>
      <c r="L1250" s="69"/>
      <c r="M1250" s="69"/>
      <c r="N1250" s="69"/>
      <c r="O1250" s="69"/>
      <c r="P1250" s="69"/>
      <c r="Q1250" s="69"/>
      <c r="R1250" s="69"/>
      <c r="S1250" s="69"/>
      <c r="T1250" s="69"/>
      <c r="U1250" s="69"/>
      <c r="V1250" s="69"/>
      <c r="W1250" s="69"/>
    </row>
    <row r="1251" spans="7:23" x14ac:dyDescent="0.3">
      <c r="G1251" s="69"/>
      <c r="H1251" s="69"/>
      <c r="I1251" s="69"/>
      <c r="J1251" s="69"/>
      <c r="K1251" s="69"/>
      <c r="L1251" s="69"/>
      <c r="M1251" s="69"/>
      <c r="N1251" s="69"/>
      <c r="O1251" s="69"/>
      <c r="P1251" s="69"/>
      <c r="Q1251" s="69"/>
      <c r="R1251" s="69"/>
      <c r="S1251" s="69"/>
      <c r="T1251" s="69"/>
      <c r="U1251" s="69"/>
      <c r="V1251" s="69"/>
      <c r="W1251" s="69"/>
    </row>
    <row r="1252" spans="7:23" x14ac:dyDescent="0.3">
      <c r="G1252" s="69"/>
      <c r="H1252" s="69"/>
      <c r="I1252" s="69"/>
      <c r="J1252" s="69"/>
      <c r="K1252" s="69"/>
      <c r="L1252" s="69"/>
      <c r="M1252" s="69"/>
      <c r="N1252" s="69"/>
      <c r="O1252" s="69"/>
      <c r="P1252" s="69"/>
      <c r="Q1252" s="69"/>
      <c r="R1252" s="69"/>
      <c r="S1252" s="69"/>
      <c r="T1252" s="69"/>
      <c r="U1252" s="69"/>
      <c r="V1252" s="69"/>
      <c r="W1252" s="69"/>
    </row>
    <row r="1253" spans="7:23" x14ac:dyDescent="0.3">
      <c r="G1253" s="69"/>
      <c r="H1253" s="69"/>
      <c r="I1253" s="69"/>
      <c r="J1253" s="69"/>
      <c r="K1253" s="69"/>
      <c r="L1253" s="69"/>
      <c r="M1253" s="69"/>
      <c r="N1253" s="69"/>
      <c r="O1253" s="69"/>
      <c r="P1253" s="69"/>
      <c r="Q1253" s="69"/>
      <c r="R1253" s="69"/>
      <c r="S1253" s="69"/>
      <c r="T1253" s="69"/>
      <c r="U1253" s="69"/>
      <c r="V1253" s="69"/>
      <c r="W1253" s="69"/>
    </row>
    <row r="1254" spans="7:23" x14ac:dyDescent="0.3">
      <c r="G1254" s="69"/>
      <c r="H1254" s="69"/>
      <c r="I1254" s="69"/>
      <c r="J1254" s="69"/>
      <c r="K1254" s="69"/>
      <c r="L1254" s="69"/>
      <c r="M1254" s="69"/>
      <c r="N1254" s="69"/>
      <c r="O1254" s="69"/>
      <c r="P1254" s="69"/>
      <c r="Q1254" s="69"/>
      <c r="R1254" s="69"/>
      <c r="S1254" s="69"/>
      <c r="T1254" s="69"/>
      <c r="U1254" s="69"/>
      <c r="V1254" s="69"/>
      <c r="W1254" s="69"/>
    </row>
    <row r="1255" spans="7:23" x14ac:dyDescent="0.3">
      <c r="G1255" s="69"/>
      <c r="H1255" s="69"/>
      <c r="I1255" s="69"/>
      <c r="J1255" s="69"/>
      <c r="K1255" s="69"/>
      <c r="L1255" s="69"/>
      <c r="M1255" s="69"/>
      <c r="N1255" s="69"/>
      <c r="O1255" s="69"/>
      <c r="P1255" s="69"/>
      <c r="Q1255" s="69"/>
      <c r="R1255" s="69"/>
      <c r="S1255" s="69"/>
      <c r="T1255" s="69"/>
      <c r="U1255" s="69"/>
      <c r="V1255" s="69"/>
      <c r="W1255" s="69"/>
    </row>
    <row r="1256" spans="7:23" x14ac:dyDescent="0.3">
      <c r="G1256" s="69"/>
      <c r="H1256" s="69"/>
      <c r="I1256" s="69"/>
      <c r="J1256" s="69"/>
      <c r="K1256" s="69"/>
      <c r="L1256" s="69"/>
      <c r="M1256" s="69"/>
      <c r="N1256" s="69"/>
      <c r="O1256" s="69"/>
      <c r="P1256" s="69"/>
      <c r="Q1256" s="69"/>
      <c r="R1256" s="69"/>
      <c r="S1256" s="69"/>
      <c r="T1256" s="69"/>
      <c r="U1256" s="69"/>
      <c r="V1256" s="69"/>
      <c r="W1256" s="69"/>
    </row>
    <row r="1257" spans="7:23" x14ac:dyDescent="0.3">
      <c r="G1257" s="69"/>
      <c r="H1257" s="69"/>
      <c r="I1257" s="69"/>
      <c r="J1257" s="69"/>
      <c r="K1257" s="69"/>
      <c r="L1257" s="69"/>
      <c r="M1257" s="69"/>
      <c r="N1257" s="69"/>
      <c r="O1257" s="69"/>
      <c r="P1257" s="69"/>
      <c r="Q1257" s="69"/>
      <c r="R1257" s="69"/>
      <c r="S1257" s="69"/>
      <c r="T1257" s="69"/>
      <c r="U1257" s="69"/>
      <c r="V1257" s="69"/>
      <c r="W1257" s="69"/>
    </row>
    <row r="1258" spans="7:23" x14ac:dyDescent="0.3">
      <c r="G1258" s="69"/>
      <c r="H1258" s="69"/>
      <c r="I1258" s="69"/>
      <c r="J1258" s="69"/>
      <c r="K1258" s="69"/>
      <c r="L1258" s="69"/>
      <c r="M1258" s="69"/>
      <c r="N1258" s="69"/>
      <c r="O1258" s="69"/>
      <c r="P1258" s="69"/>
      <c r="Q1258" s="69"/>
      <c r="R1258" s="69"/>
      <c r="S1258" s="69"/>
      <c r="T1258" s="69"/>
      <c r="U1258" s="69"/>
      <c r="V1258" s="69"/>
      <c r="W1258" s="69"/>
    </row>
    <row r="1259" spans="7:23" x14ac:dyDescent="0.3">
      <c r="G1259" s="69"/>
      <c r="H1259" s="69"/>
      <c r="I1259" s="69"/>
      <c r="J1259" s="69"/>
      <c r="K1259" s="69"/>
      <c r="L1259" s="69"/>
      <c r="M1259" s="69"/>
      <c r="N1259" s="69"/>
      <c r="O1259" s="69"/>
      <c r="P1259" s="69"/>
      <c r="Q1259" s="69"/>
      <c r="R1259" s="69"/>
      <c r="S1259" s="69"/>
      <c r="T1259" s="69"/>
      <c r="U1259" s="69"/>
      <c r="V1259" s="69"/>
      <c r="W1259" s="69"/>
    </row>
    <row r="1260" spans="7:23" x14ac:dyDescent="0.3">
      <c r="G1260" s="69"/>
      <c r="H1260" s="69"/>
      <c r="I1260" s="69"/>
      <c r="J1260" s="69"/>
      <c r="K1260" s="69"/>
      <c r="L1260" s="69"/>
      <c r="M1260" s="69"/>
      <c r="N1260" s="69"/>
      <c r="O1260" s="69"/>
      <c r="P1260" s="69"/>
      <c r="Q1260" s="69"/>
      <c r="R1260" s="69"/>
      <c r="S1260" s="69"/>
      <c r="T1260" s="69"/>
      <c r="U1260" s="69"/>
      <c r="V1260" s="69"/>
      <c r="W1260" s="69"/>
    </row>
    <row r="1261" spans="7:23" x14ac:dyDescent="0.3">
      <c r="G1261" s="69"/>
      <c r="H1261" s="69"/>
      <c r="I1261" s="69"/>
      <c r="J1261" s="69"/>
      <c r="K1261" s="69"/>
      <c r="L1261" s="69"/>
      <c r="M1261" s="69"/>
      <c r="N1261" s="69"/>
      <c r="O1261" s="69"/>
      <c r="P1261" s="69"/>
      <c r="Q1261" s="69"/>
      <c r="R1261" s="69"/>
      <c r="S1261" s="69"/>
      <c r="T1261" s="69"/>
      <c r="U1261" s="69"/>
      <c r="V1261" s="69"/>
      <c r="W1261" s="69"/>
    </row>
    <row r="1262" spans="7:23" x14ac:dyDescent="0.3">
      <c r="G1262" s="69"/>
      <c r="H1262" s="69"/>
      <c r="I1262" s="69"/>
      <c r="J1262" s="69"/>
      <c r="K1262" s="69"/>
      <c r="L1262" s="69"/>
      <c r="M1262" s="69"/>
      <c r="N1262" s="69"/>
      <c r="O1262" s="69"/>
      <c r="P1262" s="69"/>
      <c r="Q1262" s="69"/>
      <c r="R1262" s="69"/>
      <c r="S1262" s="69"/>
      <c r="T1262" s="69"/>
      <c r="U1262" s="69"/>
      <c r="V1262" s="69"/>
      <c r="W1262" s="69"/>
    </row>
    <row r="1263" spans="7:23" x14ac:dyDescent="0.3">
      <c r="G1263" s="69"/>
      <c r="H1263" s="69"/>
      <c r="I1263" s="69"/>
      <c r="J1263" s="69"/>
      <c r="K1263" s="69"/>
      <c r="L1263" s="69"/>
      <c r="M1263" s="69"/>
      <c r="N1263" s="69"/>
      <c r="O1263" s="69"/>
      <c r="P1263" s="69"/>
      <c r="Q1263" s="69"/>
      <c r="R1263" s="69"/>
      <c r="S1263" s="69"/>
      <c r="T1263" s="69"/>
      <c r="U1263" s="69"/>
      <c r="V1263" s="69"/>
      <c r="W1263" s="69"/>
    </row>
    <row r="1264" spans="7:23" x14ac:dyDescent="0.3">
      <c r="G1264" s="69"/>
      <c r="H1264" s="69"/>
      <c r="I1264" s="69"/>
      <c r="J1264" s="69"/>
      <c r="K1264" s="69"/>
      <c r="L1264" s="69"/>
      <c r="M1264" s="69"/>
      <c r="N1264" s="69"/>
      <c r="O1264" s="69"/>
      <c r="P1264" s="69"/>
      <c r="Q1264" s="69"/>
      <c r="R1264" s="69"/>
      <c r="S1264" s="69"/>
      <c r="T1264" s="69"/>
      <c r="U1264" s="69"/>
      <c r="V1264" s="69"/>
      <c r="W1264" s="69"/>
    </row>
    <row r="1265" spans="7:23" x14ac:dyDescent="0.3">
      <c r="G1265" s="69"/>
      <c r="H1265" s="69"/>
      <c r="I1265" s="69"/>
      <c r="J1265" s="69"/>
      <c r="K1265" s="69"/>
      <c r="L1265" s="69"/>
      <c r="M1265" s="69"/>
      <c r="N1265" s="69"/>
      <c r="O1265" s="69"/>
      <c r="P1265" s="69"/>
      <c r="Q1265" s="69"/>
      <c r="R1265" s="69"/>
      <c r="S1265" s="69"/>
      <c r="T1265" s="69"/>
      <c r="U1265" s="69"/>
      <c r="V1265" s="69"/>
      <c r="W1265" s="69"/>
    </row>
    <row r="1266" spans="7:23" x14ac:dyDescent="0.3">
      <c r="G1266" s="69"/>
      <c r="H1266" s="69"/>
      <c r="I1266" s="69"/>
      <c r="J1266" s="69"/>
      <c r="K1266" s="69"/>
      <c r="L1266" s="69"/>
      <c r="M1266" s="69"/>
      <c r="N1266" s="69"/>
      <c r="O1266" s="69"/>
      <c r="P1266" s="69"/>
      <c r="Q1266" s="69"/>
      <c r="R1266" s="69"/>
      <c r="S1266" s="69"/>
      <c r="T1266" s="69"/>
      <c r="U1266" s="69"/>
      <c r="V1266" s="69"/>
      <c r="W1266" s="69"/>
    </row>
    <row r="1267" spans="7:23" x14ac:dyDescent="0.3">
      <c r="G1267" s="69"/>
      <c r="H1267" s="69"/>
      <c r="I1267" s="69"/>
      <c r="J1267" s="69"/>
      <c r="K1267" s="69"/>
      <c r="L1267" s="69"/>
      <c r="M1267" s="69"/>
      <c r="N1267" s="69"/>
      <c r="O1267" s="69"/>
      <c r="P1267" s="69"/>
      <c r="Q1267" s="69"/>
      <c r="R1267" s="69"/>
      <c r="S1267" s="69"/>
      <c r="T1267" s="69"/>
      <c r="U1267" s="69"/>
      <c r="V1267" s="69"/>
      <c r="W1267" s="69"/>
    </row>
    <row r="1268" spans="7:23" x14ac:dyDescent="0.3">
      <c r="G1268" s="69"/>
      <c r="H1268" s="69"/>
      <c r="I1268" s="69"/>
      <c r="J1268" s="69"/>
      <c r="K1268" s="69"/>
      <c r="L1268" s="69"/>
      <c r="M1268" s="69"/>
      <c r="N1268" s="69"/>
      <c r="O1268" s="69"/>
      <c r="P1268" s="69"/>
      <c r="Q1268" s="69"/>
      <c r="R1268" s="69"/>
      <c r="S1268" s="69"/>
      <c r="T1268" s="69"/>
      <c r="U1268" s="69"/>
      <c r="V1268" s="69"/>
      <c r="W1268" s="69"/>
    </row>
    <row r="1269" spans="7:23" x14ac:dyDescent="0.3">
      <c r="G1269" s="69"/>
      <c r="H1269" s="69"/>
      <c r="I1269" s="69"/>
      <c r="J1269" s="69"/>
      <c r="K1269" s="69"/>
      <c r="L1269" s="69"/>
      <c r="M1269" s="69"/>
      <c r="N1269" s="69"/>
      <c r="O1269" s="69"/>
      <c r="P1269" s="69"/>
      <c r="Q1269" s="69"/>
      <c r="R1269" s="69"/>
      <c r="S1269" s="69"/>
      <c r="T1269" s="69"/>
      <c r="U1269" s="69"/>
      <c r="V1269" s="69"/>
      <c r="W1269" s="69"/>
    </row>
    <row r="1270" spans="7:23" x14ac:dyDescent="0.3">
      <c r="G1270" s="69"/>
      <c r="H1270" s="69"/>
      <c r="I1270" s="69"/>
      <c r="J1270" s="69"/>
      <c r="K1270" s="69"/>
      <c r="L1270" s="69"/>
      <c r="M1270" s="69"/>
      <c r="N1270" s="69"/>
      <c r="O1270" s="69"/>
      <c r="P1270" s="69"/>
      <c r="Q1270" s="69"/>
      <c r="R1270" s="69"/>
      <c r="S1270" s="69"/>
      <c r="T1270" s="69"/>
      <c r="U1270" s="69"/>
      <c r="V1270" s="69"/>
      <c r="W1270" s="69"/>
    </row>
    <row r="1271" spans="7:23" x14ac:dyDescent="0.3">
      <c r="G1271" s="69"/>
      <c r="H1271" s="69"/>
      <c r="I1271" s="69"/>
      <c r="J1271" s="69"/>
      <c r="K1271" s="69"/>
      <c r="L1271" s="69"/>
      <c r="M1271" s="69"/>
      <c r="N1271" s="69"/>
      <c r="O1271" s="69"/>
      <c r="P1271" s="69"/>
      <c r="Q1271" s="69"/>
      <c r="R1271" s="69"/>
      <c r="S1271" s="69"/>
      <c r="T1271" s="69"/>
      <c r="U1271" s="69"/>
      <c r="V1271" s="69"/>
      <c r="W1271" s="69"/>
    </row>
    <row r="1272" spans="7:23" x14ac:dyDescent="0.3">
      <c r="G1272" s="69"/>
      <c r="H1272" s="69"/>
      <c r="I1272" s="69"/>
      <c r="J1272" s="69"/>
      <c r="K1272" s="69"/>
      <c r="L1272" s="69"/>
      <c r="M1272" s="69"/>
      <c r="N1272" s="69"/>
      <c r="O1272" s="69"/>
      <c r="P1272" s="69"/>
      <c r="Q1272" s="69"/>
      <c r="R1272" s="69"/>
      <c r="S1272" s="69"/>
      <c r="T1272" s="69"/>
      <c r="U1272" s="69"/>
      <c r="V1272" s="69"/>
      <c r="W1272" s="69"/>
    </row>
    <row r="1273" spans="7:23" x14ac:dyDescent="0.3">
      <c r="G1273" s="69"/>
      <c r="H1273" s="69"/>
      <c r="I1273" s="69"/>
      <c r="J1273" s="69"/>
      <c r="K1273" s="69"/>
      <c r="L1273" s="69"/>
      <c r="M1273" s="69"/>
      <c r="N1273" s="69"/>
      <c r="O1273" s="69"/>
      <c r="P1273" s="69"/>
      <c r="Q1273" s="69"/>
      <c r="R1273" s="69"/>
      <c r="S1273" s="69"/>
      <c r="T1273" s="69"/>
      <c r="U1273" s="69"/>
      <c r="V1273" s="69"/>
      <c r="W1273" s="69"/>
    </row>
    <row r="1274" spans="7:23" x14ac:dyDescent="0.3">
      <c r="G1274" s="69"/>
      <c r="H1274" s="69"/>
      <c r="I1274" s="69"/>
      <c r="J1274" s="69"/>
      <c r="K1274" s="69"/>
      <c r="L1274" s="69"/>
      <c r="M1274" s="69"/>
      <c r="N1274" s="69"/>
      <c r="O1274" s="69"/>
      <c r="P1274" s="69"/>
      <c r="Q1274" s="69"/>
      <c r="R1274" s="69"/>
      <c r="S1274" s="69"/>
      <c r="T1274" s="69"/>
      <c r="U1274" s="69"/>
      <c r="V1274" s="69"/>
      <c r="W1274" s="69"/>
    </row>
    <row r="1275" spans="7:23" x14ac:dyDescent="0.3">
      <c r="G1275" s="69"/>
      <c r="H1275" s="69"/>
      <c r="I1275" s="69"/>
      <c r="J1275" s="69"/>
      <c r="K1275" s="69"/>
      <c r="L1275" s="69"/>
      <c r="M1275" s="69"/>
      <c r="N1275" s="69"/>
      <c r="O1275" s="69"/>
      <c r="P1275" s="69"/>
      <c r="Q1275" s="69"/>
      <c r="R1275" s="69"/>
      <c r="S1275" s="69"/>
      <c r="T1275" s="69"/>
      <c r="U1275" s="69"/>
      <c r="V1275" s="69"/>
      <c r="W1275" s="69"/>
    </row>
    <row r="1276" spans="7:23" x14ac:dyDescent="0.3">
      <c r="G1276" s="69"/>
      <c r="H1276" s="69"/>
      <c r="I1276" s="69"/>
      <c r="J1276" s="69"/>
      <c r="K1276" s="69"/>
      <c r="L1276" s="69"/>
      <c r="M1276" s="69"/>
      <c r="N1276" s="69"/>
      <c r="O1276" s="69"/>
      <c r="P1276" s="69"/>
      <c r="Q1276" s="69"/>
      <c r="R1276" s="69"/>
      <c r="S1276" s="69"/>
      <c r="T1276" s="69"/>
      <c r="U1276" s="69"/>
      <c r="V1276" s="69"/>
      <c r="W1276" s="69"/>
    </row>
    <row r="1277" spans="7:23" x14ac:dyDescent="0.3">
      <c r="G1277" s="69"/>
      <c r="H1277" s="69"/>
      <c r="I1277" s="69"/>
      <c r="J1277" s="69"/>
      <c r="K1277" s="69"/>
      <c r="L1277" s="69"/>
      <c r="M1277" s="69"/>
      <c r="N1277" s="69"/>
      <c r="O1277" s="69"/>
      <c r="P1277" s="69"/>
      <c r="Q1277" s="69"/>
      <c r="R1277" s="69"/>
      <c r="S1277" s="69"/>
      <c r="T1277" s="69"/>
      <c r="U1277" s="69"/>
      <c r="V1277" s="69"/>
      <c r="W1277" s="69"/>
    </row>
    <row r="1278" spans="7:23" x14ac:dyDescent="0.3">
      <c r="G1278" s="69"/>
      <c r="H1278" s="69"/>
      <c r="I1278" s="69"/>
      <c r="J1278" s="69"/>
      <c r="K1278" s="69"/>
      <c r="L1278" s="69"/>
      <c r="M1278" s="69"/>
      <c r="N1278" s="69"/>
      <c r="O1278" s="69"/>
      <c r="P1278" s="69"/>
      <c r="Q1278" s="69"/>
      <c r="R1278" s="69"/>
      <c r="S1278" s="69"/>
      <c r="T1278" s="69"/>
      <c r="U1278" s="69"/>
      <c r="V1278" s="69"/>
      <c r="W1278" s="69"/>
    </row>
    <row r="1279" spans="7:23" x14ac:dyDescent="0.3">
      <c r="G1279" s="69"/>
      <c r="H1279" s="69"/>
      <c r="I1279" s="69"/>
      <c r="J1279" s="69"/>
      <c r="K1279" s="69"/>
      <c r="L1279" s="69"/>
      <c r="M1279" s="69"/>
      <c r="N1279" s="69"/>
      <c r="O1279" s="69"/>
      <c r="P1279" s="69"/>
      <c r="Q1279" s="69"/>
      <c r="R1279" s="69"/>
      <c r="S1279" s="69"/>
      <c r="T1279" s="69"/>
      <c r="U1279" s="69"/>
      <c r="V1279" s="69"/>
      <c r="W1279" s="69"/>
    </row>
    <row r="1280" spans="7:23" x14ac:dyDescent="0.3">
      <c r="G1280" s="69"/>
      <c r="H1280" s="69"/>
      <c r="I1280" s="69"/>
      <c r="J1280" s="69"/>
      <c r="K1280" s="69"/>
      <c r="L1280" s="69"/>
      <c r="M1280" s="69"/>
      <c r="N1280" s="69"/>
      <c r="O1280" s="69"/>
      <c r="P1280" s="69"/>
      <c r="Q1280" s="69"/>
      <c r="R1280" s="69"/>
      <c r="S1280" s="69"/>
      <c r="T1280" s="69"/>
      <c r="U1280" s="69"/>
      <c r="V1280" s="69"/>
      <c r="W1280" s="69"/>
    </row>
    <row r="1281" spans="7:23" x14ac:dyDescent="0.3">
      <c r="G1281" s="69"/>
      <c r="H1281" s="69"/>
      <c r="I1281" s="69"/>
      <c r="J1281" s="69"/>
      <c r="K1281" s="69"/>
      <c r="L1281" s="69"/>
      <c r="M1281" s="69"/>
      <c r="N1281" s="69"/>
      <c r="O1281" s="69"/>
      <c r="P1281" s="69"/>
      <c r="Q1281" s="69"/>
      <c r="R1281" s="69"/>
      <c r="S1281" s="69"/>
      <c r="T1281" s="69"/>
      <c r="U1281" s="69"/>
      <c r="V1281" s="69"/>
      <c r="W1281" s="69"/>
    </row>
    <row r="1282" spans="7:23" x14ac:dyDescent="0.3">
      <c r="G1282" s="69"/>
      <c r="H1282" s="69"/>
      <c r="I1282" s="69"/>
      <c r="J1282" s="69"/>
      <c r="K1282" s="69"/>
      <c r="L1282" s="69"/>
      <c r="M1282" s="69"/>
      <c r="N1282" s="69"/>
      <c r="O1282" s="69"/>
      <c r="P1282" s="69"/>
      <c r="Q1282" s="69"/>
      <c r="R1282" s="69"/>
      <c r="S1282" s="69"/>
      <c r="T1282" s="69"/>
      <c r="U1282" s="69"/>
      <c r="V1282" s="69"/>
      <c r="W1282" s="69"/>
    </row>
    <row r="1283" spans="7:23" x14ac:dyDescent="0.3">
      <c r="G1283" s="69"/>
      <c r="H1283" s="69"/>
      <c r="I1283" s="69"/>
      <c r="J1283" s="69"/>
      <c r="K1283" s="69"/>
      <c r="L1283" s="69"/>
      <c r="M1283" s="69"/>
      <c r="N1283" s="69"/>
      <c r="O1283" s="69"/>
      <c r="P1283" s="69"/>
      <c r="Q1283" s="69"/>
      <c r="R1283" s="69"/>
      <c r="S1283" s="69"/>
      <c r="T1283" s="69"/>
      <c r="U1283" s="69"/>
      <c r="V1283" s="69"/>
      <c r="W1283" s="69"/>
    </row>
    <row r="1284" spans="7:23" x14ac:dyDescent="0.3">
      <c r="G1284" s="69"/>
      <c r="H1284" s="69"/>
      <c r="I1284" s="69"/>
      <c r="J1284" s="69"/>
      <c r="K1284" s="69"/>
      <c r="L1284" s="69"/>
      <c r="M1284" s="69"/>
      <c r="N1284" s="69"/>
      <c r="O1284" s="69"/>
      <c r="P1284" s="69"/>
      <c r="Q1284" s="69"/>
      <c r="R1284" s="69"/>
      <c r="S1284" s="69"/>
      <c r="T1284" s="69"/>
      <c r="U1284" s="69"/>
      <c r="V1284" s="69"/>
      <c r="W1284" s="69"/>
    </row>
    <row r="1285" spans="7:23" x14ac:dyDescent="0.3">
      <c r="G1285" s="69"/>
      <c r="H1285" s="69"/>
      <c r="I1285" s="69"/>
      <c r="J1285" s="69"/>
      <c r="K1285" s="69"/>
      <c r="L1285" s="69"/>
      <c r="M1285" s="69"/>
      <c r="N1285" s="69"/>
      <c r="O1285" s="69"/>
      <c r="P1285" s="69"/>
      <c r="Q1285" s="69"/>
      <c r="R1285" s="69"/>
      <c r="S1285" s="69"/>
      <c r="T1285" s="69"/>
      <c r="U1285" s="69"/>
      <c r="V1285" s="69"/>
      <c r="W1285" s="69"/>
    </row>
    <row r="1286" spans="7:23" x14ac:dyDescent="0.3">
      <c r="G1286" s="69"/>
      <c r="H1286" s="69"/>
      <c r="I1286" s="69"/>
      <c r="J1286" s="69"/>
      <c r="K1286" s="69"/>
      <c r="L1286" s="69"/>
      <c r="M1286" s="69"/>
      <c r="N1286" s="69"/>
      <c r="O1286" s="69"/>
      <c r="P1286" s="69"/>
      <c r="Q1286" s="69"/>
      <c r="R1286" s="69"/>
      <c r="S1286" s="69"/>
      <c r="T1286" s="69"/>
      <c r="U1286" s="69"/>
      <c r="V1286" s="69"/>
      <c r="W1286" s="69"/>
    </row>
    <row r="1287" spans="7:23" x14ac:dyDescent="0.3">
      <c r="G1287" s="69"/>
      <c r="H1287" s="69"/>
      <c r="I1287" s="69"/>
      <c r="J1287" s="69"/>
      <c r="K1287" s="69"/>
      <c r="L1287" s="69"/>
      <c r="M1287" s="69"/>
      <c r="N1287" s="69"/>
      <c r="O1287" s="69"/>
      <c r="P1287" s="69"/>
      <c r="Q1287" s="69"/>
      <c r="R1287" s="69"/>
      <c r="S1287" s="69"/>
      <c r="T1287" s="69"/>
      <c r="U1287" s="69"/>
      <c r="V1287" s="69"/>
      <c r="W1287" s="69"/>
    </row>
    <row r="1288" spans="7:23" x14ac:dyDescent="0.3">
      <c r="G1288" s="69"/>
      <c r="H1288" s="69"/>
      <c r="I1288" s="69"/>
      <c r="J1288" s="69"/>
      <c r="K1288" s="69"/>
      <c r="L1288" s="69"/>
      <c r="M1288" s="69"/>
      <c r="N1288" s="69"/>
      <c r="O1288" s="69"/>
      <c r="P1288" s="69"/>
      <c r="Q1288" s="69"/>
      <c r="R1288" s="69"/>
      <c r="S1288" s="69"/>
      <c r="T1288" s="69"/>
      <c r="U1288" s="69"/>
      <c r="V1288" s="69"/>
      <c r="W1288" s="69"/>
    </row>
    <row r="1289" spans="7:23" x14ac:dyDescent="0.3">
      <c r="G1289" s="69"/>
      <c r="H1289" s="69"/>
      <c r="I1289" s="69"/>
      <c r="J1289" s="69"/>
      <c r="K1289" s="69"/>
      <c r="L1289" s="69"/>
      <c r="M1289" s="69"/>
      <c r="N1289" s="69"/>
      <c r="O1289" s="69"/>
      <c r="P1289" s="69"/>
      <c r="Q1289" s="69"/>
      <c r="R1289" s="69"/>
      <c r="S1289" s="69"/>
      <c r="T1289" s="69"/>
      <c r="U1289" s="69"/>
      <c r="V1289" s="69"/>
      <c r="W1289" s="69"/>
    </row>
    <row r="1290" spans="7:23" x14ac:dyDescent="0.3">
      <c r="G1290" s="69"/>
      <c r="H1290" s="69"/>
      <c r="I1290" s="69"/>
      <c r="J1290" s="69"/>
      <c r="K1290" s="69"/>
      <c r="L1290" s="69"/>
      <c r="M1290" s="69"/>
      <c r="N1290" s="69"/>
      <c r="O1290" s="69"/>
      <c r="P1290" s="69"/>
      <c r="Q1290" s="69"/>
      <c r="R1290" s="69"/>
      <c r="S1290" s="69"/>
      <c r="T1290" s="69"/>
      <c r="U1290" s="69"/>
      <c r="V1290" s="69"/>
      <c r="W1290" s="69"/>
    </row>
    <row r="1291" spans="7:23" x14ac:dyDescent="0.3">
      <c r="G1291" s="69"/>
      <c r="H1291" s="69"/>
      <c r="I1291" s="69"/>
      <c r="J1291" s="69"/>
      <c r="K1291" s="69"/>
      <c r="L1291" s="69"/>
      <c r="M1291" s="69"/>
      <c r="N1291" s="69"/>
      <c r="O1291" s="69"/>
      <c r="P1291" s="69"/>
      <c r="Q1291" s="69"/>
      <c r="R1291" s="69"/>
      <c r="S1291" s="69"/>
      <c r="T1291" s="69"/>
      <c r="U1291" s="69"/>
      <c r="V1291" s="69"/>
      <c r="W1291" s="69"/>
    </row>
    <row r="1292" spans="7:23" x14ac:dyDescent="0.3">
      <c r="G1292" s="69"/>
      <c r="H1292" s="69"/>
      <c r="I1292" s="69"/>
      <c r="J1292" s="69"/>
      <c r="K1292" s="69"/>
      <c r="L1292" s="69"/>
      <c r="M1292" s="69"/>
      <c r="N1292" s="69"/>
      <c r="O1292" s="69"/>
      <c r="P1292" s="69"/>
      <c r="Q1292" s="69"/>
      <c r="R1292" s="69"/>
      <c r="S1292" s="69"/>
      <c r="T1292" s="69"/>
      <c r="U1292" s="69"/>
      <c r="V1292" s="69"/>
      <c r="W1292" s="69"/>
    </row>
    <row r="1293" spans="7:23" x14ac:dyDescent="0.3">
      <c r="G1293" s="69"/>
      <c r="H1293" s="69"/>
      <c r="I1293" s="69"/>
      <c r="J1293" s="69"/>
      <c r="K1293" s="69"/>
      <c r="L1293" s="69"/>
      <c r="M1293" s="69"/>
      <c r="N1293" s="69"/>
      <c r="O1293" s="69"/>
      <c r="P1293" s="69"/>
      <c r="Q1293" s="69"/>
      <c r="R1293" s="69"/>
      <c r="S1293" s="69"/>
      <c r="T1293" s="69"/>
      <c r="U1293" s="69"/>
      <c r="V1293" s="69"/>
      <c r="W1293" s="69"/>
    </row>
    <row r="1294" spans="7:23" x14ac:dyDescent="0.3">
      <c r="G1294" s="69"/>
      <c r="H1294" s="69"/>
      <c r="I1294" s="69"/>
      <c r="J1294" s="69"/>
      <c r="K1294" s="69"/>
      <c r="L1294" s="69"/>
      <c r="M1294" s="69"/>
      <c r="N1294" s="69"/>
      <c r="O1294" s="69"/>
      <c r="P1294" s="69"/>
      <c r="Q1294" s="69"/>
      <c r="R1294" s="69"/>
      <c r="S1294" s="69"/>
      <c r="T1294" s="69"/>
      <c r="U1294" s="69"/>
      <c r="V1294" s="69"/>
      <c r="W1294" s="69"/>
    </row>
    <row r="1295" spans="7:23" x14ac:dyDescent="0.3">
      <c r="G1295" s="69"/>
      <c r="H1295" s="69"/>
      <c r="I1295" s="69"/>
      <c r="J1295" s="69"/>
      <c r="K1295" s="69"/>
      <c r="L1295" s="69"/>
      <c r="M1295" s="69"/>
      <c r="N1295" s="69"/>
      <c r="O1295" s="69"/>
      <c r="P1295" s="69"/>
      <c r="Q1295" s="69"/>
      <c r="R1295" s="69"/>
      <c r="S1295" s="69"/>
      <c r="T1295" s="69"/>
      <c r="U1295" s="69"/>
      <c r="V1295" s="69"/>
      <c r="W1295" s="69"/>
    </row>
    <row r="1296" spans="7:23" x14ac:dyDescent="0.3">
      <c r="G1296" s="69"/>
      <c r="H1296" s="69"/>
      <c r="I1296" s="69"/>
      <c r="J1296" s="69"/>
      <c r="K1296" s="69"/>
      <c r="L1296" s="69"/>
      <c r="M1296" s="69"/>
      <c r="N1296" s="69"/>
      <c r="O1296" s="69"/>
      <c r="P1296" s="69"/>
      <c r="Q1296" s="69"/>
      <c r="R1296" s="69"/>
      <c r="S1296" s="69"/>
      <c r="T1296" s="69"/>
      <c r="U1296" s="69"/>
      <c r="V1296" s="69"/>
      <c r="W1296" s="69"/>
    </row>
    <row r="1297" spans="1:23" x14ac:dyDescent="0.3">
      <c r="G1297" s="69"/>
      <c r="H1297" s="69"/>
      <c r="I1297" s="69"/>
      <c r="J1297" s="69"/>
      <c r="K1297" s="69"/>
      <c r="L1297" s="69"/>
      <c r="M1297" s="69"/>
      <c r="N1297" s="69"/>
      <c r="O1297" s="69"/>
      <c r="P1297" s="69"/>
      <c r="Q1297" s="69"/>
      <c r="R1297" s="69"/>
      <c r="S1297" s="69"/>
      <c r="T1297" s="69"/>
      <c r="U1297" s="69"/>
      <c r="V1297" s="69"/>
      <c r="W1297" s="69"/>
    </row>
    <row r="1298" spans="1:23" x14ac:dyDescent="0.3">
      <c r="G1298" s="69"/>
      <c r="H1298" s="69"/>
      <c r="I1298" s="69"/>
      <c r="J1298" s="69"/>
      <c r="K1298" s="69"/>
      <c r="L1298" s="69"/>
      <c r="M1298" s="69"/>
      <c r="N1298" s="69"/>
      <c r="O1298" s="69"/>
      <c r="P1298" s="69"/>
      <c r="Q1298" s="69"/>
      <c r="R1298" s="69"/>
      <c r="S1298" s="69"/>
      <c r="T1298" s="69"/>
      <c r="U1298" s="69"/>
      <c r="V1298" s="69"/>
      <c r="W1298" s="69"/>
    </row>
    <row r="1299" spans="1:23" x14ac:dyDescent="0.3">
      <c r="G1299" s="69"/>
      <c r="H1299" s="69"/>
      <c r="I1299" s="69"/>
      <c r="J1299" s="69"/>
      <c r="K1299" s="69"/>
      <c r="L1299" s="69"/>
      <c r="M1299" s="69"/>
      <c r="N1299" s="69"/>
      <c r="O1299" s="69"/>
      <c r="P1299" s="69"/>
      <c r="Q1299" s="69"/>
      <c r="R1299" s="69"/>
      <c r="S1299" s="69"/>
      <c r="T1299" s="69"/>
      <c r="U1299" s="69"/>
      <c r="V1299" s="69"/>
      <c r="W1299" s="69"/>
    </row>
    <row r="1300" spans="1:23" ht="21" x14ac:dyDescent="0.4">
      <c r="A1300" s="48"/>
      <c r="G1300" s="69"/>
      <c r="H1300" s="69"/>
      <c r="I1300" s="69"/>
      <c r="J1300" s="69"/>
      <c r="K1300" s="69"/>
      <c r="L1300" s="69"/>
      <c r="M1300" s="69"/>
      <c r="N1300" s="69"/>
      <c r="O1300" s="69"/>
      <c r="P1300" s="69"/>
      <c r="Q1300" s="69"/>
      <c r="R1300" s="69"/>
      <c r="S1300" s="69"/>
      <c r="T1300" s="69"/>
      <c r="U1300" s="69"/>
      <c r="V1300" s="69"/>
      <c r="W1300" s="69"/>
    </row>
    <row r="1301" spans="1:23" x14ac:dyDescent="0.3">
      <c r="G1301" s="69"/>
      <c r="H1301" s="69"/>
      <c r="I1301" s="69"/>
      <c r="J1301" s="69"/>
      <c r="K1301" s="69"/>
      <c r="L1301" s="69"/>
      <c r="M1301" s="69"/>
      <c r="N1301" s="69"/>
      <c r="O1301" s="69"/>
      <c r="P1301" s="69"/>
      <c r="Q1301" s="69"/>
      <c r="R1301" s="69"/>
      <c r="S1301" s="69"/>
      <c r="T1301" s="69"/>
      <c r="U1301" s="69"/>
      <c r="V1301" s="69"/>
      <c r="W1301" s="69"/>
    </row>
    <row r="1302" spans="1:23" x14ac:dyDescent="0.3">
      <c r="G1302" s="69"/>
      <c r="H1302" s="69"/>
      <c r="I1302" s="69"/>
      <c r="J1302" s="69"/>
      <c r="K1302" s="69"/>
      <c r="L1302" s="69"/>
      <c r="M1302" s="69"/>
      <c r="N1302" s="69"/>
      <c r="O1302" s="69"/>
      <c r="P1302" s="69"/>
      <c r="Q1302" s="69"/>
      <c r="R1302" s="69"/>
      <c r="S1302" s="69"/>
      <c r="T1302" s="69"/>
      <c r="U1302" s="69"/>
      <c r="V1302" s="69"/>
      <c r="W1302" s="69"/>
    </row>
    <row r="1303" spans="1:23" x14ac:dyDescent="0.3">
      <c r="G1303" s="69"/>
      <c r="H1303" s="69"/>
      <c r="I1303" s="69"/>
      <c r="J1303" s="69"/>
      <c r="K1303" s="69"/>
      <c r="L1303" s="69"/>
      <c r="M1303" s="69"/>
      <c r="N1303" s="69"/>
      <c r="O1303" s="69"/>
      <c r="P1303" s="69"/>
      <c r="Q1303" s="69"/>
      <c r="R1303" s="69"/>
      <c r="S1303" s="69"/>
      <c r="T1303" s="69"/>
      <c r="U1303" s="69"/>
      <c r="V1303" s="69"/>
      <c r="W1303" s="69"/>
    </row>
    <row r="1304" spans="1:23" x14ac:dyDescent="0.3">
      <c r="G1304" s="69"/>
      <c r="H1304" s="69"/>
      <c r="I1304" s="69"/>
      <c r="J1304" s="69"/>
      <c r="K1304" s="69"/>
      <c r="L1304" s="69"/>
      <c r="M1304" s="69"/>
      <c r="N1304" s="69"/>
      <c r="O1304" s="69"/>
      <c r="P1304" s="69"/>
      <c r="Q1304" s="69"/>
      <c r="R1304" s="69"/>
      <c r="S1304" s="69"/>
      <c r="T1304" s="69"/>
      <c r="U1304" s="69"/>
      <c r="V1304" s="69"/>
      <c r="W1304" s="69"/>
    </row>
    <row r="1305" spans="1:23" x14ac:dyDescent="0.3">
      <c r="G1305" s="69"/>
      <c r="H1305" s="69"/>
      <c r="I1305" s="69"/>
      <c r="J1305" s="69"/>
      <c r="K1305" s="69"/>
      <c r="L1305" s="69"/>
      <c r="M1305" s="69"/>
      <c r="N1305" s="69"/>
      <c r="O1305" s="69"/>
      <c r="P1305" s="69"/>
      <c r="Q1305" s="69"/>
      <c r="R1305" s="69"/>
      <c r="S1305" s="69"/>
      <c r="T1305" s="69"/>
      <c r="U1305" s="69"/>
      <c r="V1305" s="69"/>
      <c r="W1305" s="69"/>
    </row>
    <row r="1306" spans="1:23" x14ac:dyDescent="0.3">
      <c r="G1306" s="69"/>
      <c r="H1306" s="69"/>
      <c r="I1306" s="69"/>
      <c r="J1306" s="69"/>
      <c r="K1306" s="69"/>
      <c r="L1306" s="69"/>
      <c r="M1306" s="69"/>
      <c r="N1306" s="69"/>
      <c r="O1306" s="69"/>
      <c r="P1306" s="69"/>
      <c r="Q1306" s="69"/>
      <c r="R1306" s="69"/>
      <c r="S1306" s="69"/>
      <c r="T1306" s="69"/>
      <c r="U1306" s="69"/>
      <c r="V1306" s="69"/>
      <c r="W1306" s="69"/>
    </row>
    <row r="1307" spans="1:23" x14ac:dyDescent="0.3">
      <c r="G1307" s="69"/>
      <c r="H1307" s="69"/>
      <c r="I1307" s="69"/>
      <c r="J1307" s="69"/>
      <c r="K1307" s="69"/>
      <c r="L1307" s="69"/>
      <c r="M1307" s="69"/>
      <c r="N1307" s="69"/>
      <c r="O1307" s="69"/>
      <c r="P1307" s="69"/>
      <c r="Q1307" s="69"/>
      <c r="R1307" s="69"/>
      <c r="S1307" s="69"/>
      <c r="T1307" s="69"/>
      <c r="U1307" s="69"/>
      <c r="V1307" s="69"/>
      <c r="W1307" s="69"/>
    </row>
    <row r="1308" spans="1:23" x14ac:dyDescent="0.3">
      <c r="G1308" s="69"/>
      <c r="H1308" s="69"/>
      <c r="I1308" s="69"/>
      <c r="J1308" s="69"/>
      <c r="K1308" s="69"/>
      <c r="L1308" s="69"/>
      <c r="M1308" s="69"/>
      <c r="N1308" s="69"/>
      <c r="O1308" s="69"/>
      <c r="P1308" s="69"/>
      <c r="Q1308" s="69"/>
      <c r="R1308" s="69"/>
      <c r="S1308" s="69"/>
      <c r="T1308" s="69"/>
      <c r="U1308" s="69"/>
      <c r="V1308" s="69"/>
      <c r="W1308" s="69"/>
    </row>
    <row r="1309" spans="1:23" x14ac:dyDescent="0.3">
      <c r="G1309" s="69"/>
      <c r="H1309" s="69"/>
      <c r="I1309" s="69"/>
      <c r="J1309" s="69"/>
      <c r="K1309" s="69"/>
      <c r="L1309" s="69"/>
      <c r="M1309" s="69"/>
      <c r="N1309" s="69"/>
      <c r="O1309" s="69"/>
      <c r="P1309" s="69"/>
      <c r="Q1309" s="69"/>
      <c r="R1309" s="69"/>
      <c r="S1309" s="69"/>
      <c r="T1309" s="69"/>
      <c r="U1309" s="69"/>
      <c r="V1309" s="69"/>
      <c r="W1309" s="69"/>
    </row>
    <row r="1310" spans="1:23" x14ac:dyDescent="0.3">
      <c r="G1310" s="69"/>
      <c r="H1310" s="69"/>
      <c r="I1310" s="69"/>
      <c r="J1310" s="69"/>
      <c r="K1310" s="69"/>
      <c r="L1310" s="69"/>
      <c r="M1310" s="69"/>
      <c r="N1310" s="69"/>
      <c r="O1310" s="69"/>
      <c r="P1310" s="69"/>
      <c r="Q1310" s="69"/>
      <c r="R1310" s="69"/>
      <c r="S1310" s="69"/>
      <c r="T1310" s="69"/>
      <c r="U1310" s="69"/>
      <c r="V1310" s="69"/>
      <c r="W1310" s="69"/>
    </row>
    <row r="1311" spans="1:23" x14ac:dyDescent="0.3">
      <c r="G1311" s="69"/>
      <c r="H1311" s="69"/>
      <c r="I1311" s="69"/>
      <c r="J1311" s="69"/>
      <c r="K1311" s="69"/>
      <c r="L1311" s="69"/>
      <c r="M1311" s="69"/>
      <c r="N1311" s="69"/>
      <c r="O1311" s="69"/>
      <c r="P1311" s="69"/>
      <c r="Q1311" s="69"/>
      <c r="R1311" s="69"/>
      <c r="S1311" s="69"/>
      <c r="T1311" s="69"/>
      <c r="U1311" s="69"/>
      <c r="V1311" s="69"/>
      <c r="W1311" s="69"/>
    </row>
    <row r="1312" spans="1:23" x14ac:dyDescent="0.3">
      <c r="G1312" s="69"/>
      <c r="H1312" s="69"/>
      <c r="I1312" s="69"/>
      <c r="J1312" s="69"/>
      <c r="K1312" s="69"/>
      <c r="L1312" s="69"/>
      <c r="M1312" s="69"/>
      <c r="N1312" s="69"/>
      <c r="O1312" s="69"/>
      <c r="P1312" s="69"/>
      <c r="Q1312" s="69"/>
      <c r="R1312" s="69"/>
      <c r="S1312" s="69"/>
      <c r="T1312" s="69"/>
      <c r="U1312" s="69"/>
      <c r="V1312" s="69"/>
      <c r="W1312" s="69"/>
    </row>
    <row r="1313" spans="7:23" x14ac:dyDescent="0.3">
      <c r="G1313" s="69"/>
      <c r="H1313" s="69"/>
      <c r="I1313" s="69"/>
      <c r="J1313" s="69"/>
      <c r="K1313" s="69"/>
      <c r="L1313" s="69"/>
      <c r="M1313" s="69"/>
      <c r="N1313" s="69"/>
      <c r="O1313" s="69"/>
      <c r="P1313" s="69"/>
      <c r="Q1313" s="69"/>
      <c r="R1313" s="69"/>
      <c r="S1313" s="69"/>
      <c r="T1313" s="69"/>
      <c r="U1313" s="69"/>
      <c r="V1313" s="69"/>
      <c r="W1313" s="69"/>
    </row>
    <row r="1314" spans="7:23" x14ac:dyDescent="0.3">
      <c r="G1314" s="69"/>
      <c r="H1314" s="69"/>
      <c r="I1314" s="69"/>
      <c r="J1314" s="69"/>
      <c r="K1314" s="69"/>
      <c r="L1314" s="69"/>
      <c r="M1314" s="69"/>
      <c r="N1314" s="69"/>
      <c r="O1314" s="69"/>
      <c r="P1314" s="69"/>
      <c r="Q1314" s="69"/>
      <c r="R1314" s="69"/>
      <c r="S1314" s="69"/>
      <c r="T1314" s="69"/>
      <c r="U1314" s="69"/>
      <c r="V1314" s="69"/>
      <c r="W1314" s="69"/>
    </row>
    <row r="1315" spans="7:23" x14ac:dyDescent="0.3">
      <c r="G1315" s="69"/>
      <c r="H1315" s="69"/>
      <c r="I1315" s="69"/>
      <c r="J1315" s="69"/>
      <c r="K1315" s="69"/>
      <c r="L1315" s="69"/>
      <c r="M1315" s="69"/>
      <c r="N1315" s="69"/>
      <c r="O1315" s="69"/>
      <c r="P1315" s="69"/>
      <c r="Q1315" s="69"/>
      <c r="R1315" s="69"/>
      <c r="S1315" s="69"/>
      <c r="T1315" s="69"/>
      <c r="U1315" s="69"/>
      <c r="V1315" s="69"/>
      <c r="W1315" s="69"/>
    </row>
    <row r="1316" spans="7:23" x14ac:dyDescent="0.3">
      <c r="G1316" s="69"/>
      <c r="H1316" s="69"/>
      <c r="I1316" s="69"/>
      <c r="J1316" s="69"/>
      <c r="K1316" s="69"/>
      <c r="L1316" s="69"/>
      <c r="M1316" s="69"/>
      <c r="N1316" s="69"/>
      <c r="O1316" s="69"/>
      <c r="P1316" s="69"/>
      <c r="Q1316" s="69"/>
      <c r="R1316" s="69"/>
      <c r="S1316" s="69"/>
      <c r="T1316" s="69"/>
      <c r="U1316" s="69"/>
      <c r="V1316" s="69"/>
      <c r="W1316" s="69"/>
    </row>
    <row r="1317" spans="7:23" x14ac:dyDescent="0.3">
      <c r="G1317" s="69"/>
      <c r="H1317" s="69"/>
      <c r="I1317" s="69"/>
      <c r="J1317" s="69"/>
      <c r="K1317" s="69"/>
      <c r="L1317" s="69"/>
      <c r="M1317" s="69"/>
      <c r="N1317" s="69"/>
      <c r="O1317" s="69"/>
      <c r="P1317" s="69"/>
      <c r="Q1317" s="69"/>
      <c r="R1317" s="69"/>
      <c r="S1317" s="69"/>
      <c r="T1317" s="69"/>
      <c r="U1317" s="69"/>
      <c r="V1317" s="69"/>
      <c r="W1317" s="69"/>
    </row>
    <row r="1318" spans="7:23" x14ac:dyDescent="0.3">
      <c r="G1318" s="69"/>
      <c r="H1318" s="69"/>
      <c r="I1318" s="69"/>
      <c r="J1318" s="69"/>
      <c r="K1318" s="69"/>
      <c r="L1318" s="69"/>
      <c r="M1318" s="69"/>
      <c r="N1318" s="69"/>
      <c r="O1318" s="69"/>
      <c r="P1318" s="69"/>
      <c r="Q1318" s="69"/>
      <c r="R1318" s="69"/>
      <c r="S1318" s="69"/>
      <c r="T1318" s="69"/>
      <c r="U1318" s="69"/>
      <c r="V1318" s="69"/>
      <c r="W1318" s="69"/>
    </row>
    <row r="1319" spans="7:23" x14ac:dyDescent="0.3">
      <c r="G1319" s="69"/>
      <c r="H1319" s="69"/>
      <c r="I1319" s="69"/>
      <c r="J1319" s="69"/>
      <c r="K1319" s="69"/>
      <c r="L1319" s="69"/>
      <c r="M1319" s="69"/>
      <c r="N1319" s="69"/>
      <c r="O1319" s="69"/>
      <c r="P1319" s="69"/>
      <c r="Q1319" s="69"/>
      <c r="R1319" s="69"/>
      <c r="S1319" s="69"/>
      <c r="T1319" s="69"/>
      <c r="U1319" s="69"/>
      <c r="V1319" s="69"/>
      <c r="W1319" s="69"/>
    </row>
    <row r="1320" spans="7:23" x14ac:dyDescent="0.3">
      <c r="G1320" s="69"/>
      <c r="H1320" s="69"/>
      <c r="I1320" s="69"/>
      <c r="J1320" s="69"/>
      <c r="K1320" s="69"/>
      <c r="L1320" s="69"/>
      <c r="M1320" s="69"/>
      <c r="N1320" s="69"/>
      <c r="O1320" s="69"/>
      <c r="P1320" s="69"/>
      <c r="Q1320" s="69"/>
      <c r="R1320" s="69"/>
      <c r="S1320" s="69"/>
      <c r="T1320" s="69"/>
      <c r="U1320" s="69"/>
      <c r="V1320" s="69"/>
      <c r="W1320" s="69"/>
    </row>
    <row r="1321" spans="7:23" x14ac:dyDescent="0.3">
      <c r="G1321" s="69"/>
      <c r="H1321" s="69"/>
      <c r="I1321" s="69"/>
      <c r="J1321" s="69"/>
      <c r="K1321" s="69"/>
      <c r="L1321" s="69"/>
      <c r="M1321" s="69"/>
      <c r="N1321" s="69"/>
      <c r="O1321" s="69"/>
      <c r="P1321" s="69"/>
      <c r="Q1321" s="69"/>
      <c r="R1321" s="69"/>
      <c r="S1321" s="69"/>
      <c r="T1321" s="69"/>
      <c r="U1321" s="69"/>
      <c r="V1321" s="69"/>
      <c r="W1321" s="69"/>
    </row>
    <row r="1322" spans="7:23" x14ac:dyDescent="0.3">
      <c r="G1322" s="69"/>
      <c r="H1322" s="69"/>
      <c r="I1322" s="69"/>
      <c r="J1322" s="69"/>
      <c r="K1322" s="69"/>
      <c r="L1322" s="69"/>
      <c r="M1322" s="69"/>
      <c r="N1322" s="69"/>
      <c r="O1322" s="69"/>
      <c r="P1322" s="69"/>
      <c r="Q1322" s="69"/>
      <c r="R1322" s="69"/>
      <c r="S1322" s="69"/>
      <c r="T1322" s="69"/>
      <c r="U1322" s="69"/>
      <c r="V1322" s="69"/>
      <c r="W1322" s="69"/>
    </row>
    <row r="1323" spans="7:23" x14ac:dyDescent="0.3">
      <c r="G1323" s="69"/>
      <c r="H1323" s="69"/>
      <c r="I1323" s="69"/>
      <c r="J1323" s="69"/>
      <c r="K1323" s="69"/>
      <c r="L1323" s="69"/>
      <c r="M1323" s="69"/>
      <c r="N1323" s="69"/>
      <c r="O1323" s="69"/>
      <c r="P1323" s="69"/>
      <c r="Q1323" s="69"/>
      <c r="R1323" s="69"/>
      <c r="S1323" s="69"/>
      <c r="T1323" s="69"/>
      <c r="U1323" s="69"/>
      <c r="V1323" s="69"/>
      <c r="W1323" s="69"/>
    </row>
    <row r="1324" spans="7:23" x14ac:dyDescent="0.3">
      <c r="G1324" s="69"/>
      <c r="H1324" s="69"/>
      <c r="I1324" s="69"/>
      <c r="J1324" s="69"/>
      <c r="K1324" s="69"/>
      <c r="L1324" s="69"/>
      <c r="M1324" s="69"/>
      <c r="N1324" s="69"/>
      <c r="O1324" s="69"/>
      <c r="P1324" s="69"/>
      <c r="Q1324" s="69"/>
      <c r="R1324" s="69"/>
      <c r="S1324" s="69"/>
      <c r="T1324" s="69"/>
      <c r="U1324" s="69"/>
      <c r="V1324" s="69"/>
      <c r="W1324" s="69"/>
    </row>
    <row r="1325" spans="7:23" x14ac:dyDescent="0.3">
      <c r="G1325" s="69"/>
      <c r="H1325" s="69"/>
      <c r="I1325" s="69"/>
      <c r="J1325" s="69"/>
      <c r="K1325" s="69"/>
      <c r="L1325" s="69"/>
      <c r="M1325" s="69"/>
      <c r="N1325" s="69"/>
      <c r="O1325" s="69"/>
      <c r="P1325" s="69"/>
      <c r="Q1325" s="69"/>
      <c r="R1325" s="69"/>
      <c r="S1325" s="69"/>
      <c r="T1325" s="69"/>
      <c r="U1325" s="69"/>
      <c r="V1325" s="69"/>
      <c r="W1325" s="69"/>
    </row>
    <row r="1326" spans="7:23" x14ac:dyDescent="0.3">
      <c r="G1326" s="69"/>
      <c r="H1326" s="69"/>
      <c r="I1326" s="69"/>
      <c r="J1326" s="69"/>
      <c r="K1326" s="69"/>
      <c r="L1326" s="69"/>
      <c r="M1326" s="69"/>
      <c r="N1326" s="69"/>
      <c r="O1326" s="69"/>
      <c r="P1326" s="69"/>
      <c r="Q1326" s="69"/>
      <c r="R1326" s="69"/>
      <c r="S1326" s="69"/>
      <c r="T1326" s="69"/>
      <c r="U1326" s="69"/>
      <c r="V1326" s="69"/>
      <c r="W1326" s="69"/>
    </row>
    <row r="1327" spans="7:23" x14ac:dyDescent="0.3">
      <c r="G1327" s="69"/>
      <c r="H1327" s="69"/>
      <c r="I1327" s="69"/>
      <c r="J1327" s="69"/>
      <c r="K1327" s="69"/>
      <c r="L1327" s="69"/>
      <c r="M1327" s="69"/>
      <c r="N1327" s="69"/>
      <c r="O1327" s="69"/>
      <c r="P1327" s="69"/>
      <c r="Q1327" s="69"/>
      <c r="R1327" s="69"/>
      <c r="S1327" s="69"/>
      <c r="T1327" s="69"/>
      <c r="U1327" s="69"/>
      <c r="V1327" s="69"/>
      <c r="W1327" s="69"/>
    </row>
    <row r="1328" spans="7:23" x14ac:dyDescent="0.3">
      <c r="G1328" s="69"/>
      <c r="H1328" s="69"/>
      <c r="I1328" s="69"/>
      <c r="J1328" s="69"/>
      <c r="K1328" s="69"/>
      <c r="L1328" s="69"/>
      <c r="M1328" s="69"/>
      <c r="N1328" s="69"/>
      <c r="O1328" s="69"/>
      <c r="P1328" s="69"/>
      <c r="Q1328" s="69"/>
      <c r="R1328" s="69"/>
      <c r="S1328" s="69"/>
      <c r="T1328" s="69"/>
      <c r="U1328" s="69"/>
      <c r="V1328" s="69"/>
      <c r="W1328" s="69"/>
    </row>
    <row r="1329" spans="7:23" x14ac:dyDescent="0.3">
      <c r="G1329" s="69"/>
      <c r="H1329" s="69"/>
      <c r="I1329" s="69"/>
      <c r="J1329" s="69"/>
      <c r="K1329" s="69"/>
      <c r="L1329" s="69"/>
      <c r="M1329" s="69"/>
      <c r="N1329" s="69"/>
      <c r="O1329" s="69"/>
      <c r="P1329" s="69"/>
      <c r="Q1329" s="69"/>
      <c r="R1329" s="69"/>
      <c r="S1329" s="69"/>
      <c r="T1329" s="69"/>
      <c r="U1329" s="69"/>
      <c r="V1329" s="69"/>
      <c r="W1329" s="69"/>
    </row>
    <row r="1330" spans="7:23" x14ac:dyDescent="0.3">
      <c r="G1330" s="69"/>
      <c r="H1330" s="69"/>
      <c r="I1330" s="69"/>
      <c r="J1330" s="69"/>
      <c r="K1330" s="69"/>
      <c r="L1330" s="69"/>
      <c r="M1330" s="69"/>
      <c r="N1330" s="69"/>
      <c r="O1330" s="69"/>
      <c r="P1330" s="69"/>
      <c r="Q1330" s="69"/>
      <c r="R1330" s="69"/>
      <c r="S1330" s="69"/>
      <c r="T1330" s="69"/>
      <c r="U1330" s="69"/>
      <c r="V1330" s="69"/>
      <c r="W1330" s="69"/>
    </row>
    <row r="1331" spans="7:23" x14ac:dyDescent="0.3">
      <c r="G1331" s="69"/>
      <c r="H1331" s="69"/>
      <c r="I1331" s="69"/>
      <c r="J1331" s="69"/>
      <c r="K1331" s="69"/>
      <c r="L1331" s="69"/>
      <c r="M1331" s="69"/>
      <c r="N1331" s="69"/>
      <c r="O1331" s="69"/>
      <c r="P1331" s="69"/>
      <c r="Q1331" s="69"/>
      <c r="R1331" s="69"/>
      <c r="S1331" s="69"/>
      <c r="T1331" s="69"/>
      <c r="U1331" s="69"/>
      <c r="V1331" s="69"/>
      <c r="W1331" s="69"/>
    </row>
    <row r="1332" spans="7:23" x14ac:dyDescent="0.3">
      <c r="G1332" s="69"/>
      <c r="H1332" s="69"/>
      <c r="I1332" s="69"/>
      <c r="J1332" s="69"/>
      <c r="K1332" s="69"/>
      <c r="L1332" s="69"/>
      <c r="M1332" s="69"/>
      <c r="N1332" s="69"/>
      <c r="O1332" s="69"/>
      <c r="P1332" s="69"/>
      <c r="Q1332" s="69"/>
      <c r="R1332" s="69"/>
      <c r="S1332" s="69"/>
      <c r="T1332" s="69"/>
      <c r="U1332" s="69"/>
      <c r="V1332" s="69"/>
      <c r="W1332" s="69"/>
    </row>
    <row r="1333" spans="7:23" x14ac:dyDescent="0.3">
      <c r="G1333" s="69"/>
      <c r="H1333" s="69"/>
      <c r="I1333" s="69"/>
      <c r="J1333" s="69"/>
      <c r="K1333" s="69"/>
      <c r="L1333" s="69"/>
      <c r="M1333" s="69"/>
      <c r="N1333" s="69"/>
      <c r="O1333" s="69"/>
      <c r="P1333" s="69"/>
      <c r="Q1333" s="69"/>
      <c r="R1333" s="69"/>
      <c r="S1333" s="69"/>
      <c r="T1333" s="69"/>
      <c r="U1333" s="69"/>
      <c r="V1333" s="69"/>
      <c r="W1333" s="69"/>
    </row>
    <row r="1334" spans="7:23" x14ac:dyDescent="0.3">
      <c r="G1334" s="69"/>
      <c r="H1334" s="69"/>
      <c r="I1334" s="69"/>
      <c r="J1334" s="69"/>
      <c r="K1334" s="69"/>
      <c r="L1334" s="69"/>
      <c r="M1334" s="69"/>
      <c r="N1334" s="69"/>
      <c r="O1334" s="69"/>
      <c r="P1334" s="69"/>
      <c r="Q1334" s="69"/>
      <c r="R1334" s="69"/>
      <c r="S1334" s="69"/>
      <c r="T1334" s="69"/>
      <c r="U1334" s="69"/>
      <c r="V1334" s="69"/>
      <c r="W1334" s="69"/>
    </row>
    <row r="1335" spans="7:23" x14ac:dyDescent="0.3">
      <c r="G1335" s="69"/>
      <c r="H1335" s="69"/>
      <c r="I1335" s="69"/>
      <c r="J1335" s="69"/>
      <c r="K1335" s="69"/>
      <c r="L1335" s="69"/>
      <c r="M1335" s="69"/>
      <c r="N1335" s="69"/>
      <c r="O1335" s="69"/>
      <c r="P1335" s="69"/>
      <c r="Q1335" s="69"/>
      <c r="R1335" s="69"/>
      <c r="S1335" s="69"/>
      <c r="T1335" s="69"/>
      <c r="U1335" s="69"/>
      <c r="V1335" s="69"/>
      <c r="W1335" s="69"/>
    </row>
    <row r="1336" spans="7:23" x14ac:dyDescent="0.3">
      <c r="G1336" s="69"/>
      <c r="H1336" s="69"/>
      <c r="I1336" s="69"/>
      <c r="J1336" s="69"/>
      <c r="K1336" s="69"/>
      <c r="L1336" s="69"/>
      <c r="M1336" s="69"/>
      <c r="N1336" s="69"/>
      <c r="O1336" s="69"/>
      <c r="P1336" s="69"/>
      <c r="Q1336" s="69"/>
      <c r="R1336" s="69"/>
      <c r="S1336" s="69"/>
      <c r="T1336" s="69"/>
      <c r="U1336" s="69"/>
      <c r="V1336" s="69"/>
      <c r="W1336" s="69"/>
    </row>
    <row r="1337" spans="7:23" x14ac:dyDescent="0.3">
      <c r="G1337" s="69"/>
      <c r="H1337" s="69"/>
      <c r="I1337" s="69"/>
      <c r="J1337" s="69"/>
      <c r="K1337" s="69"/>
      <c r="L1337" s="69"/>
      <c r="M1337" s="69"/>
      <c r="N1337" s="69"/>
      <c r="O1337" s="69"/>
      <c r="P1337" s="69"/>
      <c r="Q1337" s="69"/>
      <c r="R1337" s="69"/>
      <c r="S1337" s="69"/>
      <c r="T1337" s="69"/>
      <c r="U1337" s="69"/>
      <c r="V1337" s="69"/>
      <c r="W1337" s="69"/>
    </row>
    <row r="1338" spans="7:23" x14ac:dyDescent="0.3">
      <c r="G1338" s="69"/>
      <c r="H1338" s="69"/>
      <c r="I1338" s="69"/>
      <c r="J1338" s="69"/>
      <c r="K1338" s="69"/>
      <c r="L1338" s="69"/>
      <c r="M1338" s="69"/>
      <c r="N1338" s="69"/>
      <c r="O1338" s="69"/>
      <c r="P1338" s="69"/>
      <c r="Q1338" s="69"/>
      <c r="R1338" s="69"/>
      <c r="S1338" s="69"/>
      <c r="T1338" s="69"/>
      <c r="U1338" s="69"/>
      <c r="V1338" s="69"/>
      <c r="W1338" s="69"/>
    </row>
    <row r="1339" spans="7:23" x14ac:dyDescent="0.3">
      <c r="G1339" s="69"/>
      <c r="H1339" s="69"/>
      <c r="I1339" s="69"/>
      <c r="J1339" s="69"/>
      <c r="K1339" s="69"/>
      <c r="L1339" s="69"/>
      <c r="M1339" s="69"/>
      <c r="N1339" s="69"/>
      <c r="O1339" s="69"/>
      <c r="P1339" s="69"/>
      <c r="Q1339" s="69"/>
      <c r="R1339" s="69"/>
      <c r="S1339" s="69"/>
      <c r="T1339" s="69"/>
      <c r="U1339" s="69"/>
      <c r="V1339" s="69"/>
      <c r="W1339" s="69"/>
    </row>
    <row r="1340" spans="7:23" x14ac:dyDescent="0.3">
      <c r="G1340" s="69"/>
      <c r="H1340" s="69"/>
      <c r="I1340" s="69"/>
      <c r="J1340" s="69"/>
      <c r="K1340" s="69"/>
      <c r="L1340" s="69"/>
      <c r="M1340" s="69"/>
      <c r="N1340" s="69"/>
      <c r="O1340" s="69"/>
      <c r="P1340" s="69"/>
      <c r="Q1340" s="69"/>
      <c r="R1340" s="69"/>
      <c r="S1340" s="69"/>
      <c r="T1340" s="69"/>
      <c r="U1340" s="69"/>
      <c r="V1340" s="69"/>
      <c r="W1340" s="69"/>
    </row>
    <row r="1341" spans="7:23" x14ac:dyDescent="0.3">
      <c r="G1341" s="69"/>
      <c r="H1341" s="69"/>
      <c r="I1341" s="69"/>
      <c r="J1341" s="69"/>
      <c r="K1341" s="69"/>
      <c r="L1341" s="69"/>
      <c r="M1341" s="69"/>
      <c r="N1341" s="69"/>
      <c r="O1341" s="69"/>
      <c r="P1341" s="69"/>
      <c r="Q1341" s="69"/>
      <c r="R1341" s="69"/>
      <c r="S1341" s="69"/>
      <c r="T1341" s="69"/>
      <c r="U1341" s="69"/>
      <c r="V1341" s="69"/>
      <c r="W1341" s="69"/>
    </row>
    <row r="1342" spans="7:23" x14ac:dyDescent="0.3">
      <c r="G1342" s="69"/>
      <c r="H1342" s="69"/>
      <c r="I1342" s="69"/>
      <c r="J1342" s="69"/>
      <c r="K1342" s="69"/>
      <c r="L1342" s="69"/>
      <c r="M1342" s="69"/>
      <c r="N1342" s="69"/>
      <c r="O1342" s="69"/>
      <c r="P1342" s="69"/>
      <c r="Q1342" s="69"/>
      <c r="R1342" s="69"/>
      <c r="S1342" s="69"/>
      <c r="T1342" s="69"/>
      <c r="U1342" s="69"/>
      <c r="V1342" s="69"/>
      <c r="W1342" s="69"/>
    </row>
    <row r="1343" spans="7:23" x14ac:dyDescent="0.3">
      <c r="G1343" s="69"/>
      <c r="H1343" s="69"/>
      <c r="I1343" s="69"/>
      <c r="J1343" s="69"/>
      <c r="K1343" s="69"/>
      <c r="L1343" s="69"/>
      <c r="M1343" s="69"/>
      <c r="N1343" s="69"/>
      <c r="O1343" s="69"/>
      <c r="P1343" s="69"/>
      <c r="Q1343" s="69"/>
      <c r="R1343" s="69"/>
      <c r="S1343" s="69"/>
      <c r="T1343" s="69"/>
      <c r="U1343" s="69"/>
      <c r="V1343" s="69"/>
      <c r="W1343" s="69"/>
    </row>
    <row r="1344" spans="7:23" x14ac:dyDescent="0.3">
      <c r="G1344" s="69"/>
      <c r="H1344" s="69"/>
      <c r="I1344" s="69"/>
      <c r="J1344" s="69"/>
      <c r="K1344" s="69"/>
      <c r="L1344" s="69"/>
      <c r="M1344" s="69"/>
      <c r="N1344" s="69"/>
      <c r="O1344" s="69"/>
      <c r="P1344" s="69"/>
      <c r="Q1344" s="69"/>
      <c r="R1344" s="69"/>
      <c r="S1344" s="69"/>
      <c r="T1344" s="69"/>
      <c r="U1344" s="69"/>
      <c r="V1344" s="69"/>
      <c r="W1344" s="69"/>
    </row>
    <row r="1345" spans="7:23" x14ac:dyDescent="0.3">
      <c r="G1345" s="69"/>
      <c r="H1345" s="69"/>
      <c r="I1345" s="69"/>
      <c r="J1345" s="69"/>
      <c r="K1345" s="69"/>
      <c r="L1345" s="69"/>
      <c r="M1345" s="69"/>
      <c r="N1345" s="69"/>
      <c r="O1345" s="69"/>
      <c r="P1345" s="69"/>
      <c r="Q1345" s="69"/>
      <c r="R1345" s="69"/>
      <c r="S1345" s="69"/>
      <c r="T1345" s="69"/>
      <c r="U1345" s="69"/>
      <c r="V1345" s="69"/>
      <c r="W1345" s="69"/>
    </row>
    <row r="1346" spans="7:23" x14ac:dyDescent="0.3">
      <c r="G1346" s="69"/>
      <c r="H1346" s="69"/>
      <c r="I1346" s="69"/>
      <c r="J1346" s="69"/>
      <c r="K1346" s="69"/>
      <c r="L1346" s="69"/>
      <c r="M1346" s="69"/>
      <c r="N1346" s="69"/>
      <c r="O1346" s="69"/>
      <c r="P1346" s="69"/>
      <c r="Q1346" s="69"/>
      <c r="R1346" s="69"/>
      <c r="S1346" s="69"/>
      <c r="T1346" s="69"/>
      <c r="U1346" s="69"/>
      <c r="V1346" s="69"/>
      <c r="W1346" s="69"/>
    </row>
    <row r="1347" spans="7:23" x14ac:dyDescent="0.3">
      <c r="G1347" s="69"/>
      <c r="H1347" s="69"/>
      <c r="I1347" s="69"/>
      <c r="J1347" s="69"/>
      <c r="K1347" s="69"/>
      <c r="L1347" s="69"/>
      <c r="M1347" s="69"/>
      <c r="N1347" s="69"/>
      <c r="O1347" s="69"/>
      <c r="P1347" s="69"/>
      <c r="Q1347" s="69"/>
      <c r="R1347" s="69"/>
      <c r="S1347" s="69"/>
      <c r="T1347" s="69"/>
      <c r="U1347" s="69"/>
      <c r="V1347" s="69"/>
      <c r="W1347" s="69"/>
    </row>
    <row r="1348" spans="7:23" x14ac:dyDescent="0.3">
      <c r="G1348" s="69"/>
      <c r="H1348" s="69"/>
      <c r="I1348" s="69"/>
      <c r="J1348" s="69"/>
      <c r="K1348" s="69"/>
      <c r="L1348" s="69"/>
      <c r="M1348" s="69"/>
      <c r="N1348" s="69"/>
      <c r="O1348" s="69"/>
      <c r="P1348" s="69"/>
      <c r="Q1348" s="69"/>
      <c r="R1348" s="69"/>
      <c r="S1348" s="69"/>
      <c r="T1348" s="69"/>
      <c r="U1348" s="69"/>
      <c r="V1348" s="69"/>
      <c r="W1348" s="69"/>
    </row>
    <row r="1349" spans="7:23" x14ac:dyDescent="0.3">
      <c r="G1349" s="69"/>
      <c r="H1349" s="69"/>
      <c r="I1349" s="69"/>
      <c r="J1349" s="69"/>
      <c r="K1349" s="69"/>
      <c r="L1349" s="69"/>
      <c r="M1349" s="69"/>
      <c r="N1349" s="69"/>
      <c r="O1349" s="69"/>
      <c r="P1349" s="69"/>
      <c r="Q1349" s="69"/>
      <c r="R1349" s="69"/>
      <c r="S1349" s="69"/>
      <c r="T1349" s="69"/>
      <c r="U1349" s="69"/>
      <c r="V1349" s="69"/>
      <c r="W1349" s="69"/>
    </row>
    <row r="1350" spans="7:23" x14ac:dyDescent="0.3">
      <c r="G1350" s="69"/>
      <c r="H1350" s="69"/>
      <c r="I1350" s="69"/>
      <c r="J1350" s="69"/>
      <c r="K1350" s="69"/>
      <c r="L1350" s="69"/>
      <c r="M1350" s="69"/>
      <c r="N1350" s="69"/>
      <c r="O1350" s="69"/>
      <c r="P1350" s="69"/>
      <c r="Q1350" s="69"/>
      <c r="R1350" s="69"/>
      <c r="S1350" s="69"/>
      <c r="T1350" s="69"/>
      <c r="U1350" s="69"/>
      <c r="V1350" s="69"/>
      <c r="W1350" s="69"/>
    </row>
    <row r="1351" spans="7:23" x14ac:dyDescent="0.3">
      <c r="G1351" s="69"/>
      <c r="H1351" s="69"/>
      <c r="I1351" s="69"/>
      <c r="J1351" s="69"/>
      <c r="K1351" s="69"/>
      <c r="L1351" s="69"/>
      <c r="M1351" s="69"/>
      <c r="N1351" s="69"/>
      <c r="O1351" s="69"/>
      <c r="P1351" s="69"/>
      <c r="Q1351" s="69"/>
      <c r="R1351" s="69"/>
      <c r="S1351" s="69"/>
      <c r="T1351" s="69"/>
      <c r="U1351" s="69"/>
      <c r="V1351" s="69"/>
      <c r="W1351" s="69"/>
    </row>
    <row r="1352" spans="7:23" x14ac:dyDescent="0.3">
      <c r="G1352" s="69"/>
      <c r="H1352" s="69"/>
      <c r="I1352" s="69"/>
      <c r="J1352" s="69"/>
      <c r="K1352" s="69"/>
      <c r="L1352" s="69"/>
      <c r="M1352" s="69"/>
      <c r="N1352" s="69"/>
      <c r="O1352" s="69"/>
      <c r="P1352" s="69"/>
      <c r="Q1352" s="69"/>
      <c r="R1352" s="69"/>
      <c r="S1352" s="69"/>
      <c r="T1352" s="69"/>
      <c r="U1352" s="69"/>
      <c r="V1352" s="69"/>
      <c r="W1352" s="69"/>
    </row>
    <row r="1353" spans="7:23" x14ac:dyDescent="0.3">
      <c r="G1353" s="69"/>
      <c r="H1353" s="69"/>
      <c r="I1353" s="69"/>
      <c r="J1353" s="69"/>
      <c r="K1353" s="69"/>
      <c r="L1353" s="69"/>
      <c r="M1353" s="69"/>
      <c r="N1353" s="69"/>
      <c r="O1353" s="69"/>
      <c r="P1353" s="69"/>
      <c r="Q1353" s="69"/>
      <c r="R1353" s="69"/>
      <c r="S1353" s="69"/>
      <c r="T1353" s="69"/>
      <c r="U1353" s="69"/>
      <c r="V1353" s="69"/>
      <c r="W1353" s="69"/>
    </row>
    <row r="1354" spans="7:23" x14ac:dyDescent="0.3">
      <c r="G1354" s="69"/>
      <c r="H1354" s="69"/>
      <c r="I1354" s="69"/>
      <c r="J1354" s="69"/>
      <c r="K1354" s="69"/>
      <c r="L1354" s="69"/>
      <c r="M1354" s="69"/>
      <c r="N1354" s="69"/>
      <c r="O1354" s="69"/>
      <c r="P1354" s="69"/>
      <c r="Q1354" s="69"/>
      <c r="R1354" s="69"/>
      <c r="S1354" s="69"/>
      <c r="T1354" s="69"/>
      <c r="U1354" s="69"/>
      <c r="V1354" s="69"/>
      <c r="W1354" s="69"/>
    </row>
    <row r="1355" spans="7:23" x14ac:dyDescent="0.3">
      <c r="G1355" s="69"/>
      <c r="H1355" s="69"/>
      <c r="I1355" s="69"/>
      <c r="J1355" s="69"/>
      <c r="K1355" s="69"/>
      <c r="L1355" s="69"/>
      <c r="M1355" s="69"/>
      <c r="N1355" s="69"/>
      <c r="O1355" s="69"/>
      <c r="P1355" s="69"/>
      <c r="Q1355" s="69"/>
      <c r="R1355" s="69"/>
      <c r="S1355" s="69"/>
      <c r="T1355" s="69"/>
      <c r="U1355" s="69"/>
      <c r="V1355" s="69"/>
      <c r="W1355" s="69"/>
    </row>
    <row r="1356" spans="7:23" x14ac:dyDescent="0.3">
      <c r="G1356" s="69"/>
      <c r="H1356" s="69"/>
      <c r="I1356" s="69"/>
      <c r="J1356" s="69"/>
      <c r="K1356" s="69"/>
      <c r="L1356" s="69"/>
      <c r="M1356" s="69"/>
      <c r="N1356" s="69"/>
      <c r="O1356" s="69"/>
      <c r="P1356" s="69"/>
      <c r="Q1356" s="69"/>
      <c r="R1356" s="69"/>
      <c r="S1356" s="69"/>
      <c r="T1356" s="69"/>
      <c r="U1356" s="69"/>
      <c r="V1356" s="69"/>
      <c r="W1356" s="69"/>
    </row>
    <row r="1357" spans="7:23" x14ac:dyDescent="0.3">
      <c r="G1357" s="69"/>
      <c r="H1357" s="69"/>
      <c r="I1357" s="69"/>
      <c r="J1357" s="69"/>
      <c r="K1357" s="69"/>
      <c r="L1357" s="69"/>
      <c r="M1357" s="69"/>
      <c r="N1357" s="69"/>
      <c r="O1357" s="69"/>
      <c r="P1357" s="69"/>
      <c r="Q1357" s="69"/>
      <c r="R1357" s="69"/>
      <c r="S1357" s="69"/>
      <c r="T1357" s="69"/>
      <c r="U1357" s="69"/>
      <c r="V1357" s="69"/>
      <c r="W1357" s="69"/>
    </row>
    <row r="1358" spans="7:23" x14ac:dyDescent="0.3">
      <c r="G1358" s="69"/>
      <c r="H1358" s="69"/>
      <c r="I1358" s="69"/>
      <c r="J1358" s="69"/>
      <c r="K1358" s="69"/>
      <c r="L1358" s="69"/>
      <c r="M1358" s="69"/>
      <c r="N1358" s="69"/>
      <c r="O1358" s="69"/>
      <c r="P1358" s="69"/>
      <c r="Q1358" s="69"/>
      <c r="R1358" s="69"/>
      <c r="S1358" s="69"/>
      <c r="T1358" s="69"/>
      <c r="U1358" s="69"/>
      <c r="V1358" s="69"/>
      <c r="W1358" s="69"/>
    </row>
    <row r="1359" spans="7:23" x14ac:dyDescent="0.3">
      <c r="G1359" s="69"/>
      <c r="H1359" s="69"/>
      <c r="I1359" s="69"/>
      <c r="J1359" s="69"/>
      <c r="K1359" s="69"/>
      <c r="L1359" s="69"/>
      <c r="M1359" s="69"/>
      <c r="N1359" s="69"/>
      <c r="O1359" s="69"/>
      <c r="P1359" s="69"/>
      <c r="Q1359" s="69"/>
      <c r="R1359" s="69"/>
      <c r="S1359" s="69"/>
      <c r="T1359" s="69"/>
      <c r="U1359" s="69"/>
      <c r="V1359" s="69"/>
      <c r="W1359" s="69"/>
    </row>
    <row r="1360" spans="7:23" x14ac:dyDescent="0.3">
      <c r="G1360" s="69"/>
      <c r="H1360" s="69"/>
      <c r="I1360" s="69"/>
      <c r="J1360" s="69"/>
      <c r="K1360" s="69"/>
      <c r="L1360" s="69"/>
      <c r="M1360" s="69"/>
      <c r="N1360" s="69"/>
      <c r="O1360" s="69"/>
      <c r="P1360" s="69"/>
      <c r="Q1360" s="69"/>
      <c r="R1360" s="69"/>
      <c r="S1360" s="69"/>
      <c r="T1360" s="69"/>
      <c r="U1360" s="69"/>
      <c r="V1360" s="69"/>
      <c r="W1360" s="69"/>
    </row>
    <row r="1361" spans="7:23" x14ac:dyDescent="0.3">
      <c r="G1361" s="69"/>
      <c r="H1361" s="69"/>
      <c r="I1361" s="69"/>
      <c r="J1361" s="69"/>
      <c r="K1361" s="69"/>
      <c r="L1361" s="69"/>
      <c r="M1361" s="69"/>
      <c r="N1361" s="69"/>
      <c r="O1361" s="69"/>
      <c r="P1361" s="69"/>
      <c r="Q1361" s="69"/>
      <c r="R1361" s="69"/>
      <c r="S1361" s="69"/>
      <c r="T1361" s="69"/>
      <c r="U1361" s="69"/>
      <c r="V1361" s="69"/>
      <c r="W1361" s="69"/>
    </row>
    <row r="1362" spans="7:23" x14ac:dyDescent="0.3">
      <c r="G1362" s="69"/>
      <c r="H1362" s="69"/>
      <c r="I1362" s="69"/>
      <c r="J1362" s="69"/>
      <c r="K1362" s="69"/>
      <c r="L1362" s="69"/>
      <c r="M1362" s="69"/>
      <c r="N1362" s="69"/>
      <c r="O1362" s="69"/>
      <c r="P1362" s="69"/>
      <c r="Q1362" s="69"/>
      <c r="R1362" s="69"/>
      <c r="S1362" s="69"/>
      <c r="T1362" s="69"/>
      <c r="U1362" s="69"/>
      <c r="V1362" s="69"/>
      <c r="W1362" s="69"/>
    </row>
    <row r="1363" spans="7:23" x14ac:dyDescent="0.3">
      <c r="G1363" s="69"/>
      <c r="H1363" s="69"/>
      <c r="I1363" s="69"/>
      <c r="J1363" s="69"/>
      <c r="K1363" s="69"/>
      <c r="L1363" s="69"/>
      <c r="M1363" s="69"/>
      <c r="N1363" s="69"/>
      <c r="O1363" s="69"/>
      <c r="P1363" s="69"/>
      <c r="Q1363" s="69"/>
      <c r="R1363" s="69"/>
      <c r="S1363" s="69"/>
      <c r="T1363" s="69"/>
      <c r="U1363" s="69"/>
      <c r="V1363" s="69"/>
      <c r="W1363" s="69"/>
    </row>
    <row r="1364" spans="7:23" x14ac:dyDescent="0.3">
      <c r="G1364" s="69"/>
      <c r="H1364" s="69"/>
      <c r="I1364" s="69"/>
      <c r="J1364" s="69"/>
      <c r="K1364" s="69"/>
      <c r="L1364" s="69"/>
      <c r="M1364" s="69"/>
      <c r="N1364" s="69"/>
      <c r="O1364" s="69"/>
      <c r="P1364" s="69"/>
      <c r="Q1364" s="69"/>
      <c r="R1364" s="69"/>
      <c r="S1364" s="69"/>
      <c r="T1364" s="69"/>
      <c r="U1364" s="69"/>
      <c r="V1364" s="69"/>
      <c r="W1364" s="69"/>
    </row>
    <row r="1365" spans="7:23" x14ac:dyDescent="0.3">
      <c r="G1365" s="69"/>
      <c r="H1365" s="69"/>
      <c r="I1365" s="69"/>
      <c r="J1365" s="69"/>
      <c r="K1365" s="69"/>
      <c r="L1365" s="69"/>
      <c r="M1365" s="69"/>
      <c r="N1365" s="69"/>
      <c r="O1365" s="69"/>
      <c r="P1365" s="69"/>
      <c r="Q1365" s="69"/>
      <c r="R1365" s="69"/>
      <c r="S1365" s="69"/>
      <c r="T1365" s="69"/>
      <c r="U1365" s="69"/>
      <c r="V1365" s="69"/>
      <c r="W1365" s="69"/>
    </row>
    <row r="1366" spans="7:23" x14ac:dyDescent="0.3">
      <c r="G1366" s="69"/>
      <c r="H1366" s="69"/>
      <c r="I1366" s="69"/>
      <c r="J1366" s="69"/>
      <c r="K1366" s="69"/>
      <c r="L1366" s="69"/>
      <c r="M1366" s="69"/>
      <c r="N1366" s="69"/>
      <c r="O1366" s="69"/>
      <c r="P1366" s="69"/>
      <c r="Q1366" s="69"/>
      <c r="R1366" s="69"/>
      <c r="S1366" s="69"/>
      <c r="T1366" s="69"/>
      <c r="U1366" s="69"/>
      <c r="V1366" s="69"/>
      <c r="W1366" s="69"/>
    </row>
    <row r="1367" spans="7:23" x14ac:dyDescent="0.3">
      <c r="G1367" s="69"/>
      <c r="H1367" s="69"/>
      <c r="I1367" s="69"/>
      <c r="J1367" s="69"/>
      <c r="K1367" s="69"/>
      <c r="L1367" s="69"/>
      <c r="M1367" s="69"/>
      <c r="N1367" s="69"/>
      <c r="O1367" s="69"/>
      <c r="P1367" s="69"/>
      <c r="Q1367" s="69"/>
      <c r="R1367" s="69"/>
      <c r="S1367" s="69"/>
      <c r="T1367" s="69"/>
      <c r="U1367" s="69"/>
      <c r="V1367" s="69"/>
      <c r="W1367" s="69"/>
    </row>
    <row r="1368" spans="7:23" x14ac:dyDescent="0.3">
      <c r="G1368" s="69"/>
      <c r="H1368" s="69"/>
      <c r="I1368" s="69"/>
      <c r="J1368" s="69"/>
      <c r="K1368" s="69"/>
      <c r="L1368" s="69"/>
      <c r="M1368" s="69"/>
      <c r="N1368" s="69"/>
      <c r="O1368" s="69"/>
      <c r="P1368" s="69"/>
      <c r="Q1368" s="69"/>
      <c r="R1368" s="69"/>
      <c r="S1368" s="69"/>
      <c r="T1368" s="69"/>
      <c r="U1368" s="69"/>
      <c r="V1368" s="69"/>
      <c r="W1368" s="69"/>
    </row>
    <row r="1369" spans="7:23" x14ac:dyDescent="0.3">
      <c r="G1369" s="69"/>
      <c r="H1369" s="69"/>
      <c r="I1369" s="69"/>
      <c r="J1369" s="69"/>
      <c r="K1369" s="69"/>
      <c r="L1369" s="69"/>
      <c r="M1369" s="69"/>
      <c r="N1369" s="69"/>
      <c r="O1369" s="69"/>
      <c r="P1369" s="69"/>
      <c r="Q1369" s="69"/>
      <c r="R1369" s="69"/>
      <c r="S1369" s="69"/>
      <c r="T1369" s="69"/>
      <c r="U1369" s="69"/>
      <c r="V1369" s="69"/>
      <c r="W1369" s="69"/>
    </row>
    <row r="1370" spans="7:23" x14ac:dyDescent="0.3">
      <c r="G1370" s="69"/>
      <c r="H1370" s="69"/>
      <c r="I1370" s="69"/>
      <c r="J1370" s="69"/>
      <c r="K1370" s="69"/>
      <c r="L1370" s="69"/>
      <c r="M1370" s="69"/>
      <c r="N1370" s="69"/>
      <c r="O1370" s="69"/>
      <c r="P1370" s="69"/>
      <c r="Q1370" s="69"/>
      <c r="R1370" s="69"/>
      <c r="S1370" s="69"/>
      <c r="T1370" s="69"/>
      <c r="U1370" s="69"/>
      <c r="V1370" s="69"/>
      <c r="W1370" s="69"/>
    </row>
    <row r="1371" spans="7:23" x14ac:dyDescent="0.3">
      <c r="G1371" s="69"/>
      <c r="H1371" s="69"/>
      <c r="I1371" s="69"/>
      <c r="J1371" s="69"/>
      <c r="K1371" s="69"/>
      <c r="L1371" s="69"/>
      <c r="M1371" s="69"/>
      <c r="N1371" s="69"/>
      <c r="O1371" s="69"/>
      <c r="P1371" s="69"/>
      <c r="Q1371" s="69"/>
      <c r="R1371" s="69"/>
      <c r="S1371" s="69"/>
      <c r="T1371" s="69"/>
      <c r="U1371" s="69"/>
      <c r="V1371" s="69"/>
      <c r="W1371" s="69"/>
    </row>
    <row r="1372" spans="7:23" x14ac:dyDescent="0.3">
      <c r="G1372" s="69"/>
      <c r="H1372" s="69"/>
      <c r="I1372" s="69"/>
      <c r="J1372" s="69"/>
      <c r="K1372" s="69"/>
      <c r="L1372" s="69"/>
      <c r="M1372" s="69"/>
      <c r="N1372" s="69"/>
      <c r="O1372" s="69"/>
      <c r="P1372" s="69"/>
      <c r="Q1372" s="69"/>
      <c r="R1372" s="69"/>
      <c r="S1372" s="69"/>
      <c r="T1372" s="69"/>
      <c r="U1372" s="69"/>
      <c r="V1372" s="69"/>
      <c r="W1372" s="69"/>
    </row>
    <row r="1373" spans="7:23" x14ac:dyDescent="0.3">
      <c r="G1373" s="69"/>
      <c r="H1373" s="69"/>
      <c r="I1373" s="69"/>
      <c r="J1373" s="69"/>
      <c r="K1373" s="69"/>
      <c r="L1373" s="69"/>
      <c r="M1373" s="69"/>
      <c r="N1373" s="69"/>
      <c r="O1373" s="69"/>
      <c r="P1373" s="69"/>
      <c r="Q1373" s="69"/>
      <c r="R1373" s="69"/>
      <c r="S1373" s="69"/>
      <c r="T1373" s="69"/>
      <c r="U1373" s="69"/>
      <c r="V1373" s="69"/>
      <c r="W1373" s="69"/>
    </row>
    <row r="1374" spans="7:23" x14ac:dyDescent="0.3">
      <c r="G1374" s="69"/>
      <c r="H1374" s="69"/>
      <c r="I1374" s="69"/>
      <c r="J1374" s="69"/>
      <c r="K1374" s="69"/>
      <c r="L1374" s="69"/>
      <c r="M1374" s="69"/>
      <c r="N1374" s="69"/>
      <c r="O1374" s="69"/>
      <c r="P1374" s="69"/>
      <c r="Q1374" s="69"/>
      <c r="R1374" s="69"/>
      <c r="S1374" s="69"/>
      <c r="T1374" s="69"/>
      <c r="U1374" s="69"/>
      <c r="V1374" s="69"/>
      <c r="W1374" s="69"/>
    </row>
    <row r="1375" spans="7:23" x14ac:dyDescent="0.3">
      <c r="G1375" s="69"/>
      <c r="H1375" s="69"/>
      <c r="I1375" s="69"/>
      <c r="J1375" s="69"/>
      <c r="K1375" s="69"/>
      <c r="L1375" s="69"/>
      <c r="M1375" s="69"/>
      <c r="N1375" s="69"/>
      <c r="O1375" s="69"/>
      <c r="P1375" s="69"/>
      <c r="Q1375" s="69"/>
      <c r="R1375" s="69"/>
      <c r="S1375" s="69"/>
      <c r="T1375" s="69"/>
      <c r="U1375" s="69"/>
      <c r="V1375" s="69"/>
      <c r="W1375" s="69"/>
    </row>
    <row r="1376" spans="7:23" x14ac:dyDescent="0.3">
      <c r="G1376" s="69"/>
      <c r="H1376" s="69"/>
      <c r="I1376" s="69"/>
      <c r="J1376" s="69"/>
      <c r="K1376" s="69"/>
      <c r="L1376" s="69"/>
      <c r="M1376" s="69"/>
      <c r="N1376" s="69"/>
      <c r="O1376" s="69"/>
      <c r="P1376" s="69"/>
      <c r="Q1376" s="69"/>
      <c r="R1376" s="69"/>
      <c r="S1376" s="69"/>
      <c r="T1376" s="69"/>
      <c r="U1376" s="69"/>
      <c r="V1376" s="69"/>
      <c r="W1376" s="69"/>
    </row>
    <row r="1377" spans="1:23" x14ac:dyDescent="0.3">
      <c r="G1377" s="69"/>
      <c r="H1377" s="69"/>
      <c r="I1377" s="69"/>
      <c r="J1377" s="69"/>
      <c r="K1377" s="69"/>
      <c r="L1377" s="69"/>
      <c r="M1377" s="69"/>
      <c r="N1377" s="69"/>
      <c r="O1377" s="69"/>
      <c r="P1377" s="69"/>
      <c r="Q1377" s="69"/>
      <c r="R1377" s="69"/>
      <c r="S1377" s="69"/>
      <c r="T1377" s="69"/>
      <c r="U1377" s="69"/>
      <c r="V1377" s="69"/>
      <c r="W1377" s="69"/>
    </row>
    <row r="1378" spans="1:23" x14ac:dyDescent="0.3">
      <c r="G1378" s="69"/>
      <c r="H1378" s="69"/>
      <c r="I1378" s="69"/>
      <c r="J1378" s="69"/>
      <c r="K1378" s="69"/>
      <c r="L1378" s="69"/>
      <c r="M1378" s="69"/>
      <c r="N1378" s="69"/>
      <c r="O1378" s="69"/>
      <c r="P1378" s="69"/>
      <c r="Q1378" s="69"/>
      <c r="R1378" s="69"/>
      <c r="S1378" s="69"/>
      <c r="T1378" s="69"/>
      <c r="U1378" s="69"/>
      <c r="V1378" s="69"/>
      <c r="W1378" s="69"/>
    </row>
    <row r="1379" spans="1:23" x14ac:dyDescent="0.3">
      <c r="G1379" s="69"/>
      <c r="H1379" s="69"/>
      <c r="I1379" s="69"/>
      <c r="J1379" s="69"/>
      <c r="K1379" s="69"/>
      <c r="L1379" s="69"/>
      <c r="M1379" s="69"/>
      <c r="N1379" s="69"/>
      <c r="O1379" s="69"/>
      <c r="P1379" s="69"/>
      <c r="Q1379" s="69"/>
      <c r="R1379" s="69"/>
      <c r="S1379" s="69"/>
      <c r="T1379" s="69"/>
      <c r="U1379" s="69"/>
      <c r="V1379" s="69"/>
      <c r="W1379" s="69"/>
    </row>
    <row r="1380" spans="1:23" ht="21" x14ac:dyDescent="0.4">
      <c r="A1380" s="48"/>
      <c r="G1380" s="69"/>
      <c r="H1380" s="69"/>
      <c r="I1380" s="69"/>
      <c r="J1380" s="69"/>
      <c r="K1380" s="69"/>
      <c r="L1380" s="69"/>
      <c r="M1380" s="69"/>
      <c r="N1380" s="69"/>
      <c r="O1380" s="69"/>
      <c r="P1380" s="69"/>
      <c r="Q1380" s="69"/>
      <c r="R1380" s="69"/>
      <c r="S1380" s="69"/>
      <c r="T1380" s="69"/>
      <c r="U1380" s="69"/>
      <c r="V1380" s="69"/>
      <c r="W1380" s="69"/>
    </row>
    <row r="1381" spans="1:23" x14ac:dyDescent="0.3">
      <c r="G1381" s="69"/>
      <c r="H1381" s="69"/>
      <c r="I1381" s="69"/>
      <c r="J1381" s="69"/>
      <c r="K1381" s="69"/>
      <c r="L1381" s="69"/>
      <c r="M1381" s="69"/>
      <c r="N1381" s="69"/>
      <c r="O1381" s="69"/>
      <c r="P1381" s="69"/>
      <c r="Q1381" s="69"/>
      <c r="R1381" s="69"/>
      <c r="S1381" s="69"/>
      <c r="T1381" s="69"/>
      <c r="U1381" s="69"/>
      <c r="V1381" s="69"/>
      <c r="W1381" s="69"/>
    </row>
    <row r="1382" spans="1:23" x14ac:dyDescent="0.3">
      <c r="G1382" s="69"/>
      <c r="H1382" s="69"/>
      <c r="I1382" s="69"/>
      <c r="J1382" s="69"/>
      <c r="K1382" s="69"/>
      <c r="L1382" s="69"/>
      <c r="M1382" s="69"/>
      <c r="N1382" s="69"/>
      <c r="O1382" s="69"/>
      <c r="P1382" s="69"/>
      <c r="Q1382" s="69"/>
      <c r="R1382" s="69"/>
      <c r="S1382" s="69"/>
      <c r="T1382" s="69"/>
      <c r="U1382" s="69"/>
      <c r="V1382" s="69"/>
      <c r="W1382" s="69"/>
    </row>
    <row r="1383" spans="1:23" x14ac:dyDescent="0.3">
      <c r="G1383" s="69"/>
      <c r="H1383" s="69"/>
      <c r="I1383" s="69"/>
      <c r="J1383" s="69"/>
      <c r="K1383" s="69"/>
      <c r="L1383" s="69"/>
      <c r="M1383" s="69"/>
      <c r="N1383" s="69"/>
      <c r="O1383" s="69"/>
      <c r="P1383" s="69"/>
      <c r="Q1383" s="69"/>
      <c r="R1383" s="69"/>
      <c r="S1383" s="69"/>
      <c r="T1383" s="69"/>
      <c r="U1383" s="69"/>
      <c r="V1383" s="69"/>
      <c r="W1383" s="69"/>
    </row>
    <row r="1384" spans="1:23" x14ac:dyDescent="0.3">
      <c r="G1384" s="69"/>
      <c r="H1384" s="69"/>
      <c r="I1384" s="69"/>
      <c r="J1384" s="69"/>
      <c r="K1384" s="69"/>
      <c r="L1384" s="69"/>
      <c r="M1384" s="69"/>
      <c r="N1384" s="69"/>
      <c r="O1384" s="69"/>
      <c r="P1384" s="69"/>
      <c r="Q1384" s="69"/>
      <c r="R1384" s="69"/>
      <c r="S1384" s="69"/>
      <c r="T1384" s="69"/>
      <c r="U1384" s="69"/>
      <c r="V1384" s="69"/>
      <c r="W1384" s="69"/>
    </row>
    <row r="1385" spans="1:23" x14ac:dyDescent="0.3">
      <c r="G1385" s="69"/>
      <c r="H1385" s="69"/>
      <c r="I1385" s="69"/>
      <c r="J1385" s="69"/>
      <c r="K1385" s="69"/>
      <c r="L1385" s="69"/>
      <c r="M1385" s="69"/>
      <c r="N1385" s="69"/>
      <c r="O1385" s="69"/>
      <c r="P1385" s="69"/>
      <c r="Q1385" s="69"/>
      <c r="R1385" s="69"/>
      <c r="S1385" s="69"/>
      <c r="T1385" s="69"/>
      <c r="U1385" s="69"/>
      <c r="V1385" s="69"/>
      <c r="W1385" s="69"/>
    </row>
    <row r="1386" spans="1:23" x14ac:dyDescent="0.3">
      <c r="G1386" s="69"/>
      <c r="H1386" s="69"/>
      <c r="I1386" s="69"/>
      <c r="J1386" s="69"/>
      <c r="K1386" s="69"/>
      <c r="L1386" s="69"/>
      <c r="M1386" s="69"/>
      <c r="N1386" s="69"/>
      <c r="O1386" s="69"/>
      <c r="P1386" s="69"/>
      <c r="Q1386" s="69"/>
      <c r="R1386" s="69"/>
      <c r="S1386" s="69"/>
      <c r="T1386" s="69"/>
      <c r="U1386" s="69"/>
      <c r="V1386" s="69"/>
      <c r="W1386" s="69"/>
    </row>
    <row r="1387" spans="1:23" x14ac:dyDescent="0.3">
      <c r="G1387" s="69"/>
      <c r="H1387" s="69"/>
      <c r="I1387" s="69"/>
      <c r="J1387" s="69"/>
      <c r="K1387" s="69"/>
      <c r="L1387" s="69"/>
      <c r="M1387" s="69"/>
      <c r="N1387" s="69"/>
      <c r="O1387" s="69"/>
      <c r="P1387" s="69"/>
      <c r="Q1387" s="69"/>
      <c r="R1387" s="69"/>
      <c r="S1387" s="69"/>
      <c r="T1387" s="69"/>
      <c r="U1387" s="69"/>
      <c r="V1387" s="69"/>
      <c r="W1387" s="69"/>
    </row>
    <row r="1388" spans="1:23" x14ac:dyDescent="0.3">
      <c r="G1388" s="69"/>
      <c r="H1388" s="69"/>
      <c r="I1388" s="69"/>
      <c r="J1388" s="69"/>
      <c r="K1388" s="69"/>
      <c r="L1388" s="69"/>
      <c r="M1388" s="69"/>
      <c r="N1388" s="69"/>
      <c r="O1388" s="69"/>
      <c r="P1388" s="69"/>
      <c r="Q1388" s="69"/>
      <c r="R1388" s="69"/>
      <c r="S1388" s="69"/>
      <c r="T1388" s="69"/>
      <c r="U1388" s="69"/>
      <c r="V1388" s="69"/>
      <c r="W1388" s="69"/>
    </row>
    <row r="1389" spans="1:23" x14ac:dyDescent="0.3">
      <c r="G1389" s="69"/>
      <c r="H1389" s="69"/>
      <c r="I1389" s="69"/>
      <c r="J1389" s="69"/>
      <c r="K1389" s="69"/>
      <c r="L1389" s="69"/>
      <c r="M1389" s="69"/>
      <c r="N1389" s="69"/>
      <c r="O1389" s="69"/>
      <c r="P1389" s="69"/>
      <c r="Q1389" s="69"/>
      <c r="R1389" s="69"/>
      <c r="S1389" s="69"/>
      <c r="T1389" s="69"/>
      <c r="U1389" s="69"/>
      <c r="V1389" s="69"/>
      <c r="W1389" s="69"/>
    </row>
    <row r="1390" spans="1:23" x14ac:dyDescent="0.3">
      <c r="G1390" s="69"/>
      <c r="H1390" s="69"/>
      <c r="I1390" s="69"/>
      <c r="J1390" s="69"/>
      <c r="K1390" s="69"/>
      <c r="L1390" s="69"/>
      <c r="M1390" s="69"/>
      <c r="N1390" s="69"/>
      <c r="O1390" s="69"/>
      <c r="P1390" s="69"/>
      <c r="Q1390" s="69"/>
      <c r="R1390" s="69"/>
      <c r="S1390" s="69"/>
      <c r="T1390" s="69"/>
      <c r="U1390" s="69"/>
      <c r="V1390" s="69"/>
      <c r="W1390" s="69"/>
    </row>
    <row r="1391" spans="1:23" x14ac:dyDescent="0.3">
      <c r="G1391" s="69"/>
      <c r="H1391" s="69"/>
      <c r="I1391" s="69"/>
      <c r="J1391" s="69"/>
      <c r="K1391" s="69"/>
      <c r="L1391" s="69"/>
      <c r="M1391" s="69"/>
      <c r="N1391" s="69"/>
      <c r="O1391" s="69"/>
      <c r="P1391" s="69"/>
      <c r="Q1391" s="69"/>
      <c r="R1391" s="69"/>
      <c r="S1391" s="69"/>
      <c r="T1391" s="69"/>
      <c r="U1391" s="69"/>
      <c r="V1391" s="69"/>
      <c r="W1391" s="69"/>
    </row>
    <row r="1392" spans="1:23" x14ac:dyDescent="0.3">
      <c r="G1392" s="69"/>
      <c r="H1392" s="69"/>
      <c r="I1392" s="69"/>
      <c r="J1392" s="69"/>
      <c r="K1392" s="69"/>
      <c r="L1392" s="69"/>
      <c r="M1392" s="69"/>
      <c r="N1392" s="69"/>
      <c r="O1392" s="69"/>
      <c r="P1392" s="69"/>
      <c r="Q1392" s="69"/>
      <c r="R1392" s="69"/>
      <c r="S1392" s="69"/>
      <c r="T1392" s="69"/>
      <c r="U1392" s="69"/>
      <c r="V1392" s="69"/>
      <c r="W1392" s="69"/>
    </row>
    <row r="1393" spans="7:23" x14ac:dyDescent="0.3">
      <c r="G1393" s="69"/>
      <c r="H1393" s="69"/>
      <c r="I1393" s="69"/>
      <c r="J1393" s="69"/>
      <c r="K1393" s="69"/>
      <c r="L1393" s="69"/>
      <c r="M1393" s="69"/>
      <c r="N1393" s="69"/>
      <c r="O1393" s="69"/>
      <c r="P1393" s="69"/>
      <c r="Q1393" s="69"/>
      <c r="R1393" s="69"/>
      <c r="S1393" s="69"/>
      <c r="T1393" s="69"/>
      <c r="U1393" s="69"/>
      <c r="V1393" s="69"/>
      <c r="W1393" s="69"/>
    </row>
    <row r="1394" spans="7:23" x14ac:dyDescent="0.3">
      <c r="G1394" s="69"/>
      <c r="H1394" s="69"/>
      <c r="I1394" s="69"/>
      <c r="J1394" s="69"/>
      <c r="K1394" s="69"/>
      <c r="L1394" s="69"/>
      <c r="M1394" s="69"/>
      <c r="N1394" s="69"/>
      <c r="O1394" s="69"/>
      <c r="P1394" s="69"/>
      <c r="Q1394" s="69"/>
      <c r="R1394" s="69"/>
      <c r="S1394" s="69"/>
      <c r="T1394" s="69"/>
      <c r="U1394" s="69"/>
      <c r="V1394" s="69"/>
      <c r="W1394" s="69"/>
    </row>
    <row r="1395" spans="7:23" x14ac:dyDescent="0.3">
      <c r="G1395" s="69"/>
      <c r="H1395" s="69"/>
      <c r="I1395" s="69"/>
      <c r="J1395" s="69"/>
      <c r="K1395" s="69"/>
      <c r="L1395" s="69"/>
      <c r="M1395" s="69"/>
      <c r="N1395" s="69"/>
      <c r="O1395" s="69"/>
      <c r="P1395" s="69"/>
      <c r="Q1395" s="69"/>
      <c r="R1395" s="69"/>
      <c r="S1395" s="69"/>
      <c r="T1395" s="69"/>
      <c r="U1395" s="69"/>
      <c r="V1395" s="69"/>
      <c r="W1395" s="69"/>
    </row>
    <row r="1396" spans="7:23" x14ac:dyDescent="0.3">
      <c r="G1396" s="69"/>
      <c r="H1396" s="69"/>
      <c r="I1396" s="69"/>
      <c r="J1396" s="69"/>
      <c r="K1396" s="69"/>
      <c r="L1396" s="69"/>
      <c r="M1396" s="69"/>
      <c r="N1396" s="69"/>
      <c r="O1396" s="69"/>
      <c r="P1396" s="69"/>
      <c r="Q1396" s="69"/>
      <c r="R1396" s="69"/>
      <c r="S1396" s="69"/>
      <c r="T1396" s="69"/>
      <c r="U1396" s="69"/>
      <c r="V1396" s="69"/>
      <c r="W1396" s="69"/>
    </row>
    <row r="1397" spans="7:23" x14ac:dyDescent="0.3">
      <c r="G1397" s="69"/>
      <c r="H1397" s="69"/>
      <c r="I1397" s="69"/>
      <c r="J1397" s="69"/>
      <c r="K1397" s="69"/>
      <c r="L1397" s="69"/>
      <c r="M1397" s="69"/>
      <c r="N1397" s="69"/>
      <c r="O1397" s="69"/>
      <c r="P1397" s="69"/>
      <c r="Q1397" s="69"/>
      <c r="R1397" s="69"/>
      <c r="S1397" s="69"/>
      <c r="T1397" s="69"/>
      <c r="U1397" s="69"/>
      <c r="V1397" s="69"/>
      <c r="W1397" s="69"/>
    </row>
    <row r="1398" spans="7:23" x14ac:dyDescent="0.3">
      <c r="G1398" s="69"/>
      <c r="H1398" s="69"/>
      <c r="I1398" s="69"/>
      <c r="J1398" s="69"/>
      <c r="K1398" s="69"/>
      <c r="L1398" s="69"/>
      <c r="M1398" s="69"/>
      <c r="N1398" s="69"/>
      <c r="O1398" s="69"/>
      <c r="P1398" s="69"/>
      <c r="Q1398" s="69"/>
      <c r="R1398" s="69"/>
      <c r="S1398" s="69"/>
      <c r="T1398" s="69"/>
      <c r="U1398" s="69"/>
      <c r="V1398" s="69"/>
      <c r="W1398" s="69"/>
    </row>
    <row r="1399" spans="7:23" x14ac:dyDescent="0.3">
      <c r="G1399" s="69"/>
      <c r="H1399" s="69"/>
      <c r="I1399" s="69"/>
      <c r="J1399" s="69"/>
      <c r="K1399" s="69"/>
      <c r="L1399" s="69"/>
      <c r="M1399" s="69"/>
      <c r="N1399" s="69"/>
      <c r="O1399" s="69"/>
      <c r="P1399" s="69"/>
      <c r="Q1399" s="69"/>
      <c r="R1399" s="69"/>
      <c r="S1399" s="69"/>
      <c r="T1399" s="69"/>
      <c r="U1399" s="69"/>
      <c r="V1399" s="69"/>
      <c r="W1399" s="69"/>
    </row>
    <row r="1400" spans="7:23" x14ac:dyDescent="0.3">
      <c r="G1400" s="69"/>
      <c r="H1400" s="69"/>
      <c r="I1400" s="69"/>
      <c r="J1400" s="69"/>
      <c r="K1400" s="69"/>
      <c r="L1400" s="69"/>
      <c r="M1400" s="69"/>
      <c r="N1400" s="69"/>
      <c r="O1400" s="69"/>
      <c r="P1400" s="69"/>
      <c r="Q1400" s="69"/>
      <c r="R1400" s="69"/>
      <c r="S1400" s="69"/>
      <c r="T1400" s="69"/>
      <c r="U1400" s="69"/>
      <c r="V1400" s="69"/>
      <c r="W1400" s="69"/>
    </row>
    <row r="1401" spans="7:23" x14ac:dyDescent="0.3">
      <c r="G1401" s="69"/>
      <c r="H1401" s="69"/>
      <c r="I1401" s="69"/>
      <c r="J1401" s="69"/>
      <c r="K1401" s="69"/>
      <c r="L1401" s="69"/>
      <c r="M1401" s="69"/>
      <c r="N1401" s="69"/>
      <c r="O1401" s="69"/>
      <c r="P1401" s="69"/>
      <c r="Q1401" s="69"/>
      <c r="R1401" s="69"/>
      <c r="S1401" s="69"/>
      <c r="T1401" s="69"/>
      <c r="U1401" s="69"/>
      <c r="V1401" s="69"/>
      <c r="W1401" s="69"/>
    </row>
    <row r="1402" spans="7:23" x14ac:dyDescent="0.3">
      <c r="G1402" s="69"/>
      <c r="H1402" s="69"/>
      <c r="I1402" s="69"/>
      <c r="J1402" s="69"/>
      <c r="K1402" s="69"/>
      <c r="L1402" s="69"/>
      <c r="M1402" s="69"/>
      <c r="N1402" s="69"/>
      <c r="O1402" s="69"/>
      <c r="P1402" s="69"/>
      <c r="Q1402" s="69"/>
      <c r="R1402" s="69"/>
      <c r="S1402" s="69"/>
      <c r="T1402" s="69"/>
      <c r="U1402" s="69"/>
      <c r="V1402" s="69"/>
      <c r="W1402" s="69"/>
    </row>
    <row r="1403" spans="7:23" x14ac:dyDescent="0.3">
      <c r="G1403" s="69"/>
      <c r="H1403" s="69"/>
      <c r="I1403" s="69"/>
      <c r="J1403" s="69"/>
      <c r="K1403" s="69"/>
      <c r="L1403" s="69"/>
      <c r="M1403" s="69"/>
      <c r="N1403" s="69"/>
      <c r="O1403" s="69"/>
      <c r="P1403" s="69"/>
      <c r="Q1403" s="69"/>
      <c r="R1403" s="69"/>
      <c r="S1403" s="69"/>
      <c r="T1403" s="69"/>
      <c r="U1403" s="69"/>
      <c r="V1403" s="69"/>
      <c r="W1403" s="69"/>
    </row>
    <row r="1404" spans="7:23" x14ac:dyDescent="0.3">
      <c r="G1404" s="69"/>
      <c r="H1404" s="69"/>
      <c r="I1404" s="69"/>
      <c r="J1404" s="69"/>
      <c r="K1404" s="69"/>
      <c r="L1404" s="69"/>
      <c r="M1404" s="69"/>
      <c r="N1404" s="69"/>
      <c r="O1404" s="69"/>
      <c r="P1404" s="69"/>
      <c r="Q1404" s="69"/>
      <c r="R1404" s="69"/>
      <c r="S1404" s="69"/>
      <c r="T1404" s="69"/>
      <c r="U1404" s="69"/>
      <c r="V1404" s="69"/>
      <c r="W1404" s="69"/>
    </row>
    <row r="1405" spans="7:23" x14ac:dyDescent="0.3">
      <c r="G1405" s="69"/>
      <c r="H1405" s="69"/>
      <c r="I1405" s="69"/>
      <c r="J1405" s="69"/>
      <c r="K1405" s="69"/>
      <c r="L1405" s="69"/>
      <c r="M1405" s="69"/>
      <c r="N1405" s="69"/>
      <c r="O1405" s="69"/>
      <c r="P1405" s="69"/>
      <c r="Q1405" s="69"/>
      <c r="R1405" s="69"/>
      <c r="S1405" s="69"/>
      <c r="T1405" s="69"/>
      <c r="U1405" s="69"/>
      <c r="V1405" s="69"/>
      <c r="W1405" s="69"/>
    </row>
    <row r="1406" spans="7:23" x14ac:dyDescent="0.3">
      <c r="G1406" s="69"/>
      <c r="H1406" s="69"/>
      <c r="I1406" s="69"/>
      <c r="J1406" s="69"/>
      <c r="K1406" s="69"/>
      <c r="L1406" s="69"/>
      <c r="M1406" s="69"/>
      <c r="N1406" s="69"/>
      <c r="O1406" s="69"/>
      <c r="P1406" s="69"/>
      <c r="Q1406" s="69"/>
      <c r="R1406" s="69"/>
      <c r="S1406" s="69"/>
      <c r="T1406" s="69"/>
      <c r="U1406" s="69"/>
      <c r="V1406" s="69"/>
      <c r="W1406" s="69"/>
    </row>
    <row r="1407" spans="7:23" x14ac:dyDescent="0.3">
      <c r="G1407" s="69"/>
      <c r="H1407" s="69"/>
      <c r="I1407" s="69"/>
      <c r="J1407" s="69"/>
      <c r="K1407" s="69"/>
      <c r="L1407" s="69"/>
      <c r="M1407" s="69"/>
      <c r="N1407" s="69"/>
      <c r="O1407" s="69"/>
      <c r="P1407" s="69"/>
      <c r="Q1407" s="69"/>
      <c r="R1407" s="69"/>
      <c r="S1407" s="69"/>
      <c r="T1407" s="69"/>
      <c r="U1407" s="69"/>
      <c r="V1407" s="69"/>
      <c r="W1407" s="69"/>
    </row>
    <row r="1408" spans="7:23" x14ac:dyDescent="0.3">
      <c r="G1408" s="69"/>
      <c r="H1408" s="69"/>
      <c r="I1408" s="69"/>
      <c r="J1408" s="69"/>
      <c r="K1408" s="69"/>
      <c r="L1408" s="69"/>
      <c r="M1408" s="69"/>
      <c r="N1408" s="69"/>
      <c r="O1408" s="69"/>
      <c r="P1408" s="69"/>
      <c r="Q1408" s="69"/>
      <c r="R1408" s="69"/>
      <c r="S1408" s="69"/>
      <c r="T1408" s="69"/>
      <c r="U1408" s="69"/>
      <c r="V1408" s="69"/>
      <c r="W1408" s="69"/>
    </row>
    <row r="1409" spans="7:23" x14ac:dyDescent="0.3">
      <c r="G1409" s="69"/>
      <c r="H1409" s="69"/>
      <c r="I1409" s="69"/>
      <c r="J1409" s="69"/>
      <c r="K1409" s="69"/>
      <c r="L1409" s="69"/>
      <c r="M1409" s="69"/>
      <c r="N1409" s="69"/>
      <c r="O1409" s="69"/>
      <c r="P1409" s="69"/>
      <c r="Q1409" s="69"/>
      <c r="R1409" s="69"/>
      <c r="S1409" s="69"/>
      <c r="T1409" s="69"/>
      <c r="U1409" s="69"/>
      <c r="V1409" s="69"/>
      <c r="W1409" s="69"/>
    </row>
    <row r="1410" spans="7:23" x14ac:dyDescent="0.3">
      <c r="G1410" s="69"/>
      <c r="H1410" s="69"/>
      <c r="I1410" s="69"/>
      <c r="J1410" s="69"/>
      <c r="K1410" s="69"/>
      <c r="L1410" s="69"/>
      <c r="M1410" s="69"/>
      <c r="N1410" s="69"/>
      <c r="O1410" s="69"/>
      <c r="P1410" s="69"/>
      <c r="Q1410" s="69"/>
      <c r="R1410" s="69"/>
      <c r="S1410" s="69"/>
      <c r="T1410" s="69"/>
      <c r="U1410" s="69"/>
      <c r="V1410" s="69"/>
      <c r="W1410" s="69"/>
    </row>
    <row r="1411" spans="7:23" x14ac:dyDescent="0.3">
      <c r="G1411" s="69"/>
      <c r="H1411" s="69"/>
      <c r="I1411" s="69"/>
      <c r="J1411" s="69"/>
      <c r="K1411" s="69"/>
      <c r="L1411" s="69"/>
      <c r="M1411" s="69"/>
      <c r="N1411" s="69"/>
      <c r="O1411" s="69"/>
      <c r="P1411" s="69"/>
      <c r="Q1411" s="69"/>
      <c r="R1411" s="69"/>
      <c r="S1411" s="69"/>
      <c r="T1411" s="69"/>
      <c r="U1411" s="69"/>
      <c r="V1411" s="69"/>
      <c r="W1411" s="69"/>
    </row>
    <row r="1412" spans="7:23" x14ac:dyDescent="0.3">
      <c r="G1412" s="69"/>
      <c r="H1412" s="69"/>
      <c r="I1412" s="69"/>
      <c r="J1412" s="69"/>
      <c r="K1412" s="69"/>
      <c r="L1412" s="69"/>
      <c r="M1412" s="69"/>
      <c r="N1412" s="69"/>
      <c r="O1412" s="69"/>
      <c r="P1412" s="69"/>
      <c r="Q1412" s="69"/>
      <c r="R1412" s="69"/>
      <c r="S1412" s="69"/>
      <c r="T1412" s="69"/>
      <c r="U1412" s="69"/>
      <c r="V1412" s="69"/>
      <c r="W1412" s="69"/>
    </row>
    <row r="1413" spans="7:23" x14ac:dyDescent="0.3">
      <c r="G1413" s="69"/>
      <c r="H1413" s="69"/>
      <c r="I1413" s="69"/>
      <c r="J1413" s="69"/>
      <c r="K1413" s="69"/>
      <c r="L1413" s="69"/>
      <c r="M1413" s="69"/>
      <c r="N1413" s="69"/>
      <c r="O1413" s="69"/>
      <c r="P1413" s="69"/>
      <c r="Q1413" s="69"/>
      <c r="R1413" s="69"/>
      <c r="S1413" s="69"/>
      <c r="T1413" s="69"/>
      <c r="U1413" s="69"/>
      <c r="V1413" s="69"/>
      <c r="W1413" s="69"/>
    </row>
    <row r="1414" spans="7:23" x14ac:dyDescent="0.3">
      <c r="G1414" s="69"/>
      <c r="H1414" s="69"/>
      <c r="I1414" s="69"/>
      <c r="J1414" s="69"/>
      <c r="K1414" s="69"/>
      <c r="L1414" s="69"/>
      <c r="M1414" s="69"/>
      <c r="N1414" s="69"/>
      <c r="O1414" s="69"/>
      <c r="P1414" s="69"/>
      <c r="Q1414" s="69"/>
      <c r="R1414" s="69"/>
      <c r="S1414" s="69"/>
      <c r="T1414" s="69"/>
      <c r="U1414" s="69"/>
      <c r="V1414" s="69"/>
      <c r="W1414" s="69"/>
    </row>
    <row r="1415" spans="7:23" x14ac:dyDescent="0.3">
      <c r="G1415" s="69"/>
      <c r="H1415" s="69"/>
      <c r="I1415" s="69"/>
      <c r="J1415" s="69"/>
      <c r="K1415" s="69"/>
      <c r="L1415" s="69"/>
      <c r="M1415" s="69"/>
      <c r="N1415" s="69"/>
      <c r="O1415" s="69"/>
      <c r="P1415" s="69"/>
      <c r="Q1415" s="69"/>
      <c r="R1415" s="69"/>
      <c r="S1415" s="69"/>
      <c r="T1415" s="69"/>
      <c r="U1415" s="69"/>
      <c r="V1415" s="69"/>
      <c r="W1415" s="69"/>
    </row>
    <row r="1416" spans="7:23" x14ac:dyDescent="0.3">
      <c r="G1416" s="69"/>
      <c r="H1416" s="69"/>
      <c r="I1416" s="69"/>
      <c r="J1416" s="69"/>
      <c r="K1416" s="69"/>
      <c r="L1416" s="69"/>
      <c r="M1416" s="69"/>
      <c r="N1416" s="69"/>
      <c r="O1416" s="69"/>
      <c r="P1416" s="69"/>
      <c r="Q1416" s="69"/>
      <c r="R1416" s="69"/>
      <c r="S1416" s="69"/>
      <c r="T1416" s="69"/>
      <c r="U1416" s="69"/>
      <c r="V1416" s="69"/>
      <c r="W1416" s="69"/>
    </row>
    <row r="1417" spans="7:23" x14ac:dyDescent="0.3">
      <c r="G1417" s="69"/>
      <c r="H1417" s="69"/>
      <c r="I1417" s="69"/>
      <c r="J1417" s="69"/>
      <c r="K1417" s="69"/>
      <c r="L1417" s="69"/>
      <c r="M1417" s="69"/>
      <c r="N1417" s="69"/>
      <c r="O1417" s="69"/>
      <c r="P1417" s="69"/>
      <c r="Q1417" s="69"/>
      <c r="R1417" s="69"/>
      <c r="S1417" s="69"/>
      <c r="T1417" s="69"/>
      <c r="U1417" s="69"/>
      <c r="V1417" s="69"/>
      <c r="W1417" s="69"/>
    </row>
    <row r="1418" spans="7:23" x14ac:dyDescent="0.3">
      <c r="G1418" s="69"/>
      <c r="H1418" s="69"/>
      <c r="I1418" s="69"/>
      <c r="J1418" s="69"/>
      <c r="K1418" s="69"/>
      <c r="L1418" s="69"/>
      <c r="M1418" s="69"/>
      <c r="N1418" s="69"/>
      <c r="O1418" s="69"/>
      <c r="P1418" s="69"/>
      <c r="Q1418" s="69"/>
      <c r="R1418" s="69"/>
      <c r="S1418" s="69"/>
      <c r="T1418" s="69"/>
      <c r="U1418" s="69"/>
      <c r="V1418" s="69"/>
      <c r="W1418" s="69"/>
    </row>
    <row r="1419" spans="7:23" x14ac:dyDescent="0.3">
      <c r="G1419" s="69"/>
      <c r="H1419" s="69"/>
      <c r="I1419" s="69"/>
      <c r="J1419" s="69"/>
      <c r="K1419" s="69"/>
      <c r="L1419" s="69"/>
      <c r="M1419" s="69"/>
      <c r="N1419" s="69"/>
      <c r="O1419" s="69"/>
      <c r="P1419" s="69"/>
      <c r="Q1419" s="69"/>
      <c r="R1419" s="69"/>
      <c r="S1419" s="69"/>
      <c r="T1419" s="69"/>
      <c r="U1419" s="69"/>
      <c r="V1419" s="69"/>
      <c r="W1419" s="69"/>
    </row>
    <row r="1420" spans="7:23" x14ac:dyDescent="0.3">
      <c r="G1420" s="69"/>
      <c r="H1420" s="69"/>
      <c r="I1420" s="69"/>
      <c r="J1420" s="69"/>
      <c r="K1420" s="69"/>
      <c r="L1420" s="69"/>
      <c r="M1420" s="69"/>
      <c r="N1420" s="69"/>
      <c r="O1420" s="69"/>
      <c r="P1420" s="69"/>
      <c r="Q1420" s="69"/>
      <c r="R1420" s="69"/>
      <c r="S1420" s="69"/>
      <c r="T1420" s="69"/>
      <c r="U1420" s="69"/>
      <c r="V1420" s="69"/>
      <c r="W1420" s="69"/>
    </row>
    <row r="1421" spans="7:23" x14ac:dyDescent="0.3">
      <c r="G1421" s="69"/>
      <c r="H1421" s="69"/>
      <c r="I1421" s="69"/>
      <c r="J1421" s="69"/>
      <c r="K1421" s="69"/>
      <c r="L1421" s="69"/>
      <c r="M1421" s="69"/>
      <c r="N1421" s="69"/>
      <c r="O1421" s="69"/>
      <c r="P1421" s="69"/>
      <c r="Q1421" s="69"/>
      <c r="R1421" s="69"/>
      <c r="S1421" s="69"/>
      <c r="T1421" s="69"/>
      <c r="U1421" s="69"/>
      <c r="V1421" s="69"/>
      <c r="W1421" s="69"/>
    </row>
    <row r="1422" spans="7:23" x14ac:dyDescent="0.3">
      <c r="G1422" s="69"/>
      <c r="H1422" s="69"/>
      <c r="I1422" s="69"/>
      <c r="J1422" s="69"/>
      <c r="K1422" s="69"/>
      <c r="L1422" s="69"/>
      <c r="M1422" s="69"/>
      <c r="N1422" s="69"/>
      <c r="O1422" s="69"/>
      <c r="P1422" s="69"/>
      <c r="Q1422" s="69"/>
      <c r="R1422" s="69"/>
      <c r="S1422" s="69"/>
      <c r="T1422" s="69"/>
      <c r="U1422" s="69"/>
      <c r="V1422" s="69"/>
      <c r="W1422" s="69"/>
    </row>
    <row r="1423" spans="7:23" x14ac:dyDescent="0.3">
      <c r="G1423" s="69"/>
      <c r="H1423" s="69"/>
      <c r="I1423" s="69"/>
      <c r="J1423" s="69"/>
      <c r="K1423" s="69"/>
      <c r="L1423" s="69"/>
      <c r="M1423" s="69"/>
      <c r="N1423" s="69"/>
      <c r="O1423" s="69"/>
      <c r="P1423" s="69"/>
      <c r="Q1423" s="69"/>
      <c r="R1423" s="69"/>
      <c r="S1423" s="69"/>
      <c r="T1423" s="69"/>
      <c r="U1423" s="69"/>
      <c r="V1423" s="69"/>
      <c r="W1423" s="69"/>
    </row>
    <row r="1424" spans="7:23" x14ac:dyDescent="0.3">
      <c r="G1424" s="69"/>
      <c r="H1424" s="69"/>
      <c r="I1424" s="69"/>
      <c r="J1424" s="69"/>
      <c r="K1424" s="69"/>
      <c r="L1424" s="69"/>
      <c r="M1424" s="69"/>
      <c r="N1424" s="69"/>
      <c r="O1424" s="69"/>
      <c r="P1424" s="69"/>
      <c r="Q1424" s="69"/>
      <c r="R1424" s="69"/>
      <c r="S1424" s="69"/>
      <c r="T1424" s="69"/>
      <c r="U1424" s="69"/>
      <c r="V1424" s="69"/>
      <c r="W1424" s="69"/>
    </row>
    <row r="1425" spans="7:23" x14ac:dyDescent="0.3">
      <c r="G1425" s="69"/>
      <c r="H1425" s="69"/>
      <c r="I1425" s="69"/>
      <c r="J1425" s="69"/>
      <c r="K1425" s="69"/>
      <c r="L1425" s="69"/>
      <c r="M1425" s="69"/>
      <c r="N1425" s="69"/>
      <c r="O1425" s="69"/>
      <c r="P1425" s="69"/>
      <c r="Q1425" s="69"/>
      <c r="R1425" s="69"/>
      <c r="S1425" s="69"/>
      <c r="T1425" s="69"/>
      <c r="U1425" s="69"/>
      <c r="V1425" s="69"/>
      <c r="W1425" s="69"/>
    </row>
    <row r="1426" spans="7:23" x14ac:dyDescent="0.3">
      <c r="G1426" s="69"/>
      <c r="H1426" s="69"/>
      <c r="I1426" s="69"/>
      <c r="J1426" s="69"/>
      <c r="K1426" s="69"/>
      <c r="L1426" s="69"/>
      <c r="M1426" s="69"/>
      <c r="N1426" s="69"/>
      <c r="O1426" s="69"/>
      <c r="P1426" s="69"/>
      <c r="Q1426" s="69"/>
      <c r="R1426" s="69"/>
      <c r="S1426" s="69"/>
      <c r="T1426" s="69"/>
      <c r="U1426" s="69"/>
      <c r="V1426" s="69"/>
      <c r="W1426" s="69"/>
    </row>
    <row r="1427" spans="7:23" x14ac:dyDescent="0.3">
      <c r="G1427" s="69"/>
      <c r="H1427" s="69"/>
      <c r="I1427" s="69"/>
      <c r="J1427" s="69"/>
      <c r="K1427" s="69"/>
      <c r="L1427" s="69"/>
      <c r="M1427" s="69"/>
      <c r="N1427" s="69"/>
      <c r="O1427" s="69"/>
      <c r="P1427" s="69"/>
      <c r="Q1427" s="69"/>
      <c r="R1427" s="69"/>
      <c r="S1427" s="69"/>
      <c r="T1427" s="69"/>
      <c r="U1427" s="69"/>
      <c r="V1427" s="69"/>
      <c r="W1427" s="69"/>
    </row>
    <row r="1428" spans="7:23" x14ac:dyDescent="0.3">
      <c r="G1428" s="69"/>
      <c r="H1428" s="69"/>
      <c r="I1428" s="69"/>
      <c r="J1428" s="69"/>
      <c r="K1428" s="69"/>
      <c r="L1428" s="69"/>
      <c r="M1428" s="69"/>
      <c r="N1428" s="69"/>
      <c r="O1428" s="69"/>
      <c r="P1428" s="69"/>
      <c r="Q1428" s="69"/>
      <c r="R1428" s="69"/>
      <c r="S1428" s="69"/>
      <c r="T1428" s="69"/>
      <c r="U1428" s="69"/>
      <c r="V1428" s="69"/>
      <c r="W1428" s="69"/>
    </row>
    <row r="1429" spans="7:23" x14ac:dyDescent="0.3">
      <c r="G1429" s="69"/>
      <c r="H1429" s="69"/>
      <c r="I1429" s="69"/>
      <c r="J1429" s="69"/>
      <c r="K1429" s="69"/>
      <c r="L1429" s="69"/>
      <c r="M1429" s="69"/>
      <c r="N1429" s="69"/>
      <c r="O1429" s="69"/>
      <c r="P1429" s="69"/>
      <c r="Q1429" s="69"/>
      <c r="R1429" s="69"/>
      <c r="S1429" s="69"/>
      <c r="T1429" s="69"/>
      <c r="U1429" s="69"/>
      <c r="V1429" s="69"/>
      <c r="W1429" s="69"/>
    </row>
    <row r="1430" spans="7:23" x14ac:dyDescent="0.3">
      <c r="G1430" s="69"/>
      <c r="H1430" s="69"/>
      <c r="I1430" s="69"/>
      <c r="J1430" s="69"/>
      <c r="K1430" s="69"/>
      <c r="L1430" s="69"/>
      <c r="M1430" s="69"/>
      <c r="N1430" s="69"/>
      <c r="O1430" s="69"/>
      <c r="P1430" s="69"/>
      <c r="Q1430" s="69"/>
      <c r="R1430" s="69"/>
      <c r="S1430" s="69"/>
      <c r="T1430" s="69"/>
      <c r="U1430" s="69"/>
      <c r="V1430" s="69"/>
      <c r="W1430" s="69"/>
    </row>
    <row r="1431" spans="7:23" x14ac:dyDescent="0.3">
      <c r="G1431" s="69"/>
      <c r="H1431" s="69"/>
      <c r="I1431" s="69"/>
      <c r="J1431" s="69"/>
      <c r="K1431" s="69"/>
      <c r="L1431" s="69"/>
      <c r="M1431" s="69"/>
      <c r="N1431" s="69"/>
      <c r="O1431" s="69"/>
      <c r="P1431" s="69"/>
      <c r="Q1431" s="69"/>
      <c r="R1431" s="69"/>
      <c r="S1431" s="69"/>
      <c r="T1431" s="69"/>
      <c r="U1431" s="69"/>
      <c r="V1431" s="69"/>
      <c r="W1431" s="69"/>
    </row>
    <row r="1432" spans="7:23" x14ac:dyDescent="0.3">
      <c r="G1432" s="69"/>
      <c r="H1432" s="69"/>
      <c r="I1432" s="69"/>
      <c r="J1432" s="69"/>
      <c r="K1432" s="69"/>
      <c r="L1432" s="69"/>
      <c r="M1432" s="69"/>
      <c r="N1432" s="69"/>
      <c r="O1432" s="69"/>
      <c r="P1432" s="69"/>
      <c r="Q1432" s="69"/>
      <c r="R1432" s="69"/>
      <c r="S1432" s="69"/>
      <c r="T1432" s="69"/>
      <c r="U1432" s="69"/>
      <c r="V1432" s="69"/>
      <c r="W1432" s="69"/>
    </row>
    <row r="1433" spans="7:23" x14ac:dyDescent="0.3">
      <c r="G1433" s="69"/>
      <c r="H1433" s="69"/>
      <c r="I1433" s="69"/>
      <c r="J1433" s="69"/>
      <c r="K1433" s="69"/>
      <c r="L1433" s="69"/>
      <c r="M1433" s="69"/>
      <c r="N1433" s="69"/>
      <c r="O1433" s="69"/>
      <c r="P1433" s="69"/>
      <c r="Q1433" s="69"/>
      <c r="R1433" s="69"/>
      <c r="S1433" s="69"/>
      <c r="T1433" s="69"/>
      <c r="U1433" s="69"/>
      <c r="V1433" s="69"/>
      <c r="W1433" s="69"/>
    </row>
    <row r="1434" spans="7:23" x14ac:dyDescent="0.3">
      <c r="G1434" s="69"/>
      <c r="H1434" s="69"/>
      <c r="I1434" s="69"/>
      <c r="J1434" s="69"/>
      <c r="K1434" s="69"/>
      <c r="L1434" s="69"/>
      <c r="M1434" s="69"/>
      <c r="N1434" s="69"/>
      <c r="O1434" s="69"/>
      <c r="P1434" s="69"/>
      <c r="Q1434" s="69"/>
      <c r="R1434" s="69"/>
      <c r="S1434" s="69"/>
      <c r="T1434" s="69"/>
      <c r="U1434" s="69"/>
      <c r="V1434" s="69"/>
      <c r="W1434" s="69"/>
    </row>
    <row r="1435" spans="7:23" x14ac:dyDescent="0.3">
      <c r="G1435" s="69"/>
      <c r="H1435" s="69"/>
      <c r="I1435" s="69"/>
      <c r="J1435" s="69"/>
      <c r="K1435" s="69"/>
      <c r="L1435" s="69"/>
      <c r="M1435" s="69"/>
      <c r="N1435" s="69"/>
      <c r="O1435" s="69"/>
      <c r="P1435" s="69"/>
      <c r="Q1435" s="69"/>
      <c r="R1435" s="69"/>
      <c r="S1435" s="69"/>
      <c r="T1435" s="69"/>
      <c r="U1435" s="69"/>
      <c r="V1435" s="69"/>
      <c r="W1435" s="69"/>
    </row>
    <row r="1436" spans="7:23" x14ac:dyDescent="0.3">
      <c r="G1436" s="69"/>
      <c r="H1436" s="69"/>
      <c r="I1436" s="69"/>
      <c r="J1436" s="69"/>
      <c r="K1436" s="69"/>
      <c r="L1436" s="69"/>
      <c r="M1436" s="69"/>
      <c r="N1436" s="69"/>
      <c r="O1436" s="69"/>
      <c r="P1436" s="69"/>
      <c r="Q1436" s="69"/>
      <c r="R1436" s="69"/>
      <c r="S1436" s="69"/>
      <c r="T1436" s="69"/>
      <c r="U1436" s="69"/>
      <c r="V1436" s="69"/>
      <c r="W1436" s="69"/>
    </row>
    <row r="1437" spans="7:23" x14ac:dyDescent="0.3">
      <c r="G1437" s="69"/>
      <c r="H1437" s="69"/>
      <c r="I1437" s="69"/>
      <c r="J1437" s="69"/>
      <c r="K1437" s="69"/>
      <c r="L1437" s="69"/>
      <c r="M1437" s="69"/>
      <c r="N1437" s="69"/>
      <c r="O1437" s="69"/>
      <c r="P1437" s="69"/>
      <c r="Q1437" s="69"/>
      <c r="R1437" s="69"/>
      <c r="S1437" s="69"/>
      <c r="T1437" s="69"/>
      <c r="U1437" s="69"/>
      <c r="V1437" s="69"/>
      <c r="W1437" s="69"/>
    </row>
    <row r="1438" spans="7:23" x14ac:dyDescent="0.3">
      <c r="G1438" s="69"/>
      <c r="H1438" s="69"/>
      <c r="I1438" s="69"/>
      <c r="J1438" s="69"/>
      <c r="K1438" s="69"/>
      <c r="L1438" s="69"/>
      <c r="M1438" s="69"/>
      <c r="N1438" s="69"/>
      <c r="O1438" s="69"/>
      <c r="P1438" s="69"/>
      <c r="Q1438" s="69"/>
      <c r="R1438" s="69"/>
      <c r="S1438" s="69"/>
      <c r="T1438" s="69"/>
      <c r="U1438" s="69"/>
      <c r="V1438" s="69"/>
      <c r="W1438" s="69"/>
    </row>
    <row r="1439" spans="7:23" x14ac:dyDescent="0.3">
      <c r="G1439" s="69"/>
      <c r="H1439" s="69"/>
      <c r="I1439" s="69"/>
      <c r="J1439" s="69"/>
      <c r="K1439" s="69"/>
      <c r="L1439" s="69"/>
      <c r="M1439" s="69"/>
      <c r="N1439" s="69"/>
      <c r="O1439" s="69"/>
      <c r="P1439" s="69"/>
      <c r="Q1439" s="69"/>
      <c r="R1439" s="69"/>
      <c r="S1439" s="69"/>
      <c r="T1439" s="69"/>
      <c r="U1439" s="69"/>
      <c r="V1439" s="69"/>
      <c r="W1439" s="69"/>
    </row>
    <row r="1440" spans="7:23" x14ac:dyDescent="0.3">
      <c r="G1440" s="69"/>
      <c r="H1440" s="69"/>
      <c r="I1440" s="69"/>
      <c r="J1440" s="69"/>
      <c r="K1440" s="69"/>
      <c r="L1440" s="69"/>
      <c r="M1440" s="69"/>
      <c r="N1440" s="69"/>
      <c r="O1440" s="69"/>
      <c r="P1440" s="69"/>
      <c r="Q1440" s="69"/>
      <c r="R1440" s="69"/>
      <c r="S1440" s="69"/>
      <c r="T1440" s="69"/>
      <c r="U1440" s="69"/>
      <c r="V1440" s="69"/>
      <c r="W1440" s="69"/>
    </row>
    <row r="1441" spans="7:23" x14ac:dyDescent="0.3">
      <c r="G1441" s="69"/>
      <c r="H1441" s="69"/>
      <c r="I1441" s="69"/>
      <c r="J1441" s="69"/>
      <c r="K1441" s="69"/>
      <c r="L1441" s="69"/>
      <c r="M1441" s="69"/>
      <c r="N1441" s="69"/>
      <c r="O1441" s="69"/>
      <c r="P1441" s="69"/>
      <c r="Q1441" s="69"/>
      <c r="R1441" s="69"/>
      <c r="S1441" s="69"/>
      <c r="T1441" s="69"/>
      <c r="U1441" s="69"/>
      <c r="V1441" s="69"/>
      <c r="W1441" s="69"/>
    </row>
    <row r="1442" spans="7:23" x14ac:dyDescent="0.3">
      <c r="G1442" s="69"/>
      <c r="H1442" s="69"/>
      <c r="I1442" s="69"/>
      <c r="J1442" s="69"/>
      <c r="K1442" s="69"/>
      <c r="L1442" s="69"/>
      <c r="M1442" s="69"/>
      <c r="N1442" s="69"/>
      <c r="O1442" s="69"/>
      <c r="P1442" s="69"/>
      <c r="Q1442" s="69"/>
      <c r="R1442" s="69"/>
      <c r="S1442" s="69"/>
      <c r="T1442" s="69"/>
      <c r="U1442" s="69"/>
      <c r="V1442" s="69"/>
      <c r="W1442" s="69"/>
    </row>
    <row r="1443" spans="7:23" x14ac:dyDescent="0.3">
      <c r="G1443" s="69"/>
      <c r="H1443" s="69"/>
      <c r="I1443" s="69"/>
      <c r="J1443" s="69"/>
      <c r="K1443" s="69"/>
      <c r="L1443" s="69"/>
      <c r="M1443" s="69"/>
      <c r="N1443" s="69"/>
      <c r="O1443" s="69"/>
      <c r="P1443" s="69"/>
      <c r="Q1443" s="69"/>
      <c r="R1443" s="69"/>
      <c r="S1443" s="69"/>
      <c r="T1443" s="69"/>
      <c r="U1443" s="69"/>
      <c r="V1443" s="69"/>
      <c r="W1443" s="69"/>
    </row>
    <row r="1444" spans="7:23" x14ac:dyDescent="0.3">
      <c r="G1444" s="69"/>
      <c r="H1444" s="69"/>
      <c r="I1444" s="69"/>
      <c r="J1444" s="69"/>
      <c r="K1444" s="69"/>
      <c r="L1444" s="69"/>
      <c r="M1444" s="69"/>
      <c r="N1444" s="69"/>
      <c r="O1444" s="69"/>
      <c r="P1444" s="69"/>
      <c r="Q1444" s="69"/>
      <c r="R1444" s="69"/>
      <c r="S1444" s="69"/>
      <c r="T1444" s="69"/>
      <c r="U1444" s="69"/>
      <c r="V1444" s="69"/>
      <c r="W1444" s="69"/>
    </row>
    <row r="1445" spans="7:23" x14ac:dyDescent="0.3">
      <c r="G1445" s="69"/>
      <c r="H1445" s="69"/>
      <c r="I1445" s="69"/>
      <c r="J1445" s="69"/>
      <c r="K1445" s="69"/>
      <c r="L1445" s="69"/>
      <c r="M1445" s="69"/>
      <c r="N1445" s="69"/>
      <c r="O1445" s="69"/>
      <c r="P1445" s="69"/>
      <c r="Q1445" s="69"/>
      <c r="R1445" s="69"/>
      <c r="S1445" s="69"/>
      <c r="T1445" s="69"/>
      <c r="U1445" s="69"/>
      <c r="V1445" s="69"/>
      <c r="W1445" s="69"/>
    </row>
    <row r="1446" spans="7:23" x14ac:dyDescent="0.3">
      <c r="G1446" s="69"/>
      <c r="H1446" s="69"/>
      <c r="I1446" s="69"/>
      <c r="J1446" s="69"/>
      <c r="K1446" s="69"/>
      <c r="L1446" s="69"/>
      <c r="M1446" s="69"/>
      <c r="N1446" s="69"/>
      <c r="O1446" s="69"/>
      <c r="P1446" s="69"/>
      <c r="Q1446" s="69"/>
      <c r="R1446" s="69"/>
      <c r="S1446" s="69"/>
      <c r="T1446" s="69"/>
      <c r="U1446" s="69"/>
      <c r="V1446" s="69"/>
      <c r="W1446" s="69"/>
    </row>
    <row r="1447" spans="7:23" x14ac:dyDescent="0.3">
      <c r="G1447" s="69"/>
      <c r="H1447" s="69"/>
      <c r="I1447" s="69"/>
      <c r="J1447" s="69"/>
      <c r="K1447" s="69"/>
      <c r="L1447" s="69"/>
      <c r="M1447" s="69"/>
      <c r="N1447" s="69"/>
      <c r="O1447" s="69"/>
      <c r="P1447" s="69"/>
      <c r="Q1447" s="69"/>
      <c r="R1447" s="69"/>
      <c r="S1447" s="69"/>
      <c r="T1447" s="69"/>
      <c r="U1447" s="69"/>
      <c r="V1447" s="69"/>
      <c r="W1447" s="69"/>
    </row>
    <row r="1448" spans="7:23" x14ac:dyDescent="0.3">
      <c r="G1448" s="69"/>
      <c r="H1448" s="69"/>
      <c r="I1448" s="69"/>
      <c r="J1448" s="69"/>
      <c r="K1448" s="69"/>
      <c r="L1448" s="69"/>
      <c r="M1448" s="69"/>
      <c r="N1448" s="69"/>
      <c r="O1448" s="69"/>
      <c r="P1448" s="69"/>
      <c r="Q1448" s="69"/>
      <c r="R1448" s="69"/>
      <c r="S1448" s="69"/>
      <c r="T1448" s="69"/>
      <c r="U1448" s="69"/>
      <c r="V1448" s="69"/>
      <c r="W1448" s="69"/>
    </row>
    <row r="1449" spans="7:23" x14ac:dyDescent="0.3">
      <c r="G1449" s="69"/>
      <c r="H1449" s="69"/>
      <c r="I1449" s="69"/>
      <c r="J1449" s="69"/>
      <c r="K1449" s="69"/>
      <c r="L1449" s="69"/>
      <c r="M1449" s="69"/>
      <c r="N1449" s="69"/>
      <c r="O1449" s="69"/>
      <c r="P1449" s="69"/>
      <c r="Q1449" s="69"/>
      <c r="R1449" s="69"/>
      <c r="S1449" s="69"/>
      <c r="T1449" s="69"/>
      <c r="U1449" s="69"/>
      <c r="V1449" s="69"/>
      <c r="W1449" s="69"/>
    </row>
    <row r="1450" spans="7:23" x14ac:dyDescent="0.3">
      <c r="G1450" s="69"/>
      <c r="H1450" s="69"/>
      <c r="I1450" s="69"/>
      <c r="J1450" s="69"/>
      <c r="K1450" s="69"/>
      <c r="L1450" s="69"/>
      <c r="M1450" s="69"/>
      <c r="N1450" s="69"/>
      <c r="O1450" s="69"/>
      <c r="P1450" s="69"/>
      <c r="Q1450" s="69"/>
      <c r="R1450" s="69"/>
      <c r="S1450" s="69"/>
      <c r="T1450" s="69"/>
      <c r="U1450" s="69"/>
      <c r="V1450" s="69"/>
      <c r="W1450" s="69"/>
    </row>
    <row r="1451" spans="7:23" x14ac:dyDescent="0.3">
      <c r="G1451" s="69"/>
      <c r="H1451" s="69"/>
      <c r="I1451" s="69"/>
      <c r="J1451" s="69"/>
      <c r="K1451" s="69"/>
      <c r="L1451" s="69"/>
      <c r="M1451" s="69"/>
      <c r="N1451" s="69"/>
      <c r="O1451" s="69"/>
      <c r="P1451" s="69"/>
      <c r="Q1451" s="69"/>
      <c r="R1451" s="69"/>
      <c r="S1451" s="69"/>
      <c r="T1451" s="69"/>
      <c r="U1451" s="69"/>
      <c r="V1451" s="69"/>
      <c r="W1451" s="69"/>
    </row>
    <row r="1452" spans="7:23" x14ac:dyDescent="0.3">
      <c r="G1452" s="69"/>
      <c r="H1452" s="69"/>
      <c r="I1452" s="69"/>
      <c r="J1452" s="69"/>
      <c r="K1452" s="69"/>
      <c r="L1452" s="69"/>
      <c r="M1452" s="69"/>
      <c r="N1452" s="69"/>
      <c r="O1452" s="69"/>
      <c r="P1452" s="69"/>
      <c r="Q1452" s="69"/>
      <c r="R1452" s="69"/>
      <c r="S1452" s="69"/>
      <c r="T1452" s="69"/>
      <c r="U1452" s="69"/>
      <c r="V1452" s="69"/>
      <c r="W1452" s="69"/>
    </row>
    <row r="1453" spans="7:23" x14ac:dyDescent="0.3">
      <c r="G1453" s="69"/>
      <c r="H1453" s="69"/>
      <c r="I1453" s="69"/>
      <c r="J1453" s="69"/>
      <c r="K1453" s="69"/>
      <c r="L1453" s="69"/>
      <c r="M1453" s="69"/>
      <c r="N1453" s="69"/>
      <c r="O1453" s="69"/>
      <c r="P1453" s="69"/>
      <c r="Q1453" s="69"/>
      <c r="R1453" s="69"/>
      <c r="S1453" s="69"/>
      <c r="T1453" s="69"/>
      <c r="U1453" s="69"/>
      <c r="V1453" s="69"/>
      <c r="W1453" s="69"/>
    </row>
    <row r="1454" spans="7:23" x14ac:dyDescent="0.3">
      <c r="G1454" s="69"/>
      <c r="H1454" s="69"/>
      <c r="I1454" s="69"/>
      <c r="J1454" s="69"/>
      <c r="K1454" s="69"/>
      <c r="L1454" s="69"/>
      <c r="M1454" s="69"/>
      <c r="N1454" s="69"/>
      <c r="O1454" s="69"/>
      <c r="P1454" s="69"/>
      <c r="Q1454" s="69"/>
      <c r="R1454" s="69"/>
      <c r="S1454" s="69"/>
      <c r="T1454" s="69"/>
      <c r="U1454" s="69"/>
      <c r="V1454" s="69"/>
      <c r="W1454" s="69"/>
    </row>
    <row r="1455" spans="7:23" x14ac:dyDescent="0.3">
      <c r="G1455" s="69"/>
      <c r="H1455" s="69"/>
      <c r="I1455" s="69"/>
      <c r="J1455" s="69"/>
      <c r="K1455" s="69"/>
      <c r="L1455" s="69"/>
      <c r="M1455" s="69"/>
      <c r="N1455" s="69"/>
      <c r="O1455" s="69"/>
      <c r="P1455" s="69"/>
      <c r="Q1455" s="69"/>
      <c r="R1455" s="69"/>
      <c r="S1455" s="69"/>
      <c r="T1455" s="69"/>
      <c r="U1455" s="69"/>
      <c r="V1455" s="69"/>
      <c r="W1455" s="69"/>
    </row>
    <row r="1456" spans="7:23" x14ac:dyDescent="0.3">
      <c r="G1456" s="69"/>
      <c r="H1456" s="69"/>
      <c r="I1456" s="69"/>
      <c r="J1456" s="69"/>
      <c r="K1456" s="69"/>
      <c r="L1456" s="69"/>
      <c r="M1456" s="69"/>
      <c r="N1456" s="69"/>
      <c r="O1456" s="69"/>
      <c r="P1456" s="69"/>
      <c r="Q1456" s="69"/>
      <c r="R1456" s="69"/>
      <c r="S1456" s="69"/>
      <c r="T1456" s="69"/>
      <c r="U1456" s="69"/>
      <c r="V1456" s="69"/>
      <c r="W1456" s="69"/>
    </row>
    <row r="1457" spans="1:23" x14ac:dyDescent="0.3">
      <c r="G1457" s="69"/>
      <c r="H1457" s="69"/>
      <c r="I1457" s="69"/>
      <c r="J1457" s="69"/>
      <c r="K1457" s="69"/>
      <c r="L1457" s="69"/>
      <c r="M1457" s="69"/>
      <c r="N1457" s="69"/>
      <c r="O1457" s="69"/>
      <c r="P1457" s="69"/>
      <c r="Q1457" s="69"/>
      <c r="R1457" s="69"/>
      <c r="S1457" s="69"/>
      <c r="T1457" s="69"/>
      <c r="U1457" s="69"/>
      <c r="V1457" s="69"/>
      <c r="W1457" s="69"/>
    </row>
    <row r="1458" spans="1:23" x14ac:dyDescent="0.3">
      <c r="G1458" s="69"/>
      <c r="H1458" s="69"/>
      <c r="I1458" s="69"/>
      <c r="J1458" s="69"/>
      <c r="K1458" s="69"/>
      <c r="L1458" s="69"/>
      <c r="M1458" s="69"/>
      <c r="N1458" s="69"/>
      <c r="O1458" s="69"/>
      <c r="P1458" s="69"/>
      <c r="Q1458" s="69"/>
      <c r="R1458" s="69"/>
      <c r="S1458" s="69"/>
      <c r="T1458" s="69"/>
      <c r="U1458" s="69"/>
      <c r="V1458" s="69"/>
      <c r="W1458" s="69"/>
    </row>
    <row r="1459" spans="1:23" x14ac:dyDescent="0.3">
      <c r="G1459" s="69"/>
      <c r="H1459" s="69"/>
      <c r="I1459" s="69"/>
      <c r="J1459" s="69"/>
      <c r="K1459" s="69"/>
      <c r="L1459" s="69"/>
      <c r="M1459" s="69"/>
      <c r="N1459" s="69"/>
      <c r="O1459" s="69"/>
      <c r="P1459" s="69"/>
      <c r="Q1459" s="69"/>
      <c r="R1459" s="69"/>
      <c r="S1459" s="69"/>
      <c r="T1459" s="69"/>
      <c r="U1459" s="69"/>
      <c r="V1459" s="69"/>
      <c r="W1459" s="69"/>
    </row>
    <row r="1460" spans="1:23" ht="21" x14ac:dyDescent="0.4">
      <c r="A1460" s="48"/>
      <c r="G1460" s="69"/>
      <c r="H1460" s="69"/>
      <c r="I1460" s="69"/>
      <c r="J1460" s="69"/>
      <c r="K1460" s="69"/>
      <c r="L1460" s="69"/>
      <c r="M1460" s="69"/>
      <c r="N1460" s="69"/>
      <c r="O1460" s="69"/>
      <c r="P1460" s="69"/>
      <c r="Q1460" s="69"/>
      <c r="R1460" s="69"/>
      <c r="S1460" s="69"/>
      <c r="T1460" s="69"/>
      <c r="U1460" s="69"/>
      <c r="V1460" s="69"/>
      <c r="W1460" s="69"/>
    </row>
    <row r="1461" spans="1:23" x14ac:dyDescent="0.3">
      <c r="G1461" s="69"/>
      <c r="H1461" s="69"/>
      <c r="I1461" s="69"/>
      <c r="J1461" s="69"/>
      <c r="K1461" s="69"/>
      <c r="L1461" s="69"/>
      <c r="M1461" s="69"/>
      <c r="N1461" s="69"/>
      <c r="O1461" s="69"/>
      <c r="P1461" s="69"/>
      <c r="Q1461" s="69"/>
      <c r="R1461" s="69"/>
      <c r="S1461" s="69"/>
      <c r="T1461" s="69"/>
      <c r="U1461" s="69"/>
      <c r="V1461" s="69"/>
      <c r="W1461" s="69"/>
    </row>
    <row r="1462" spans="1:23" x14ac:dyDescent="0.3">
      <c r="G1462" s="69"/>
      <c r="H1462" s="69"/>
      <c r="I1462" s="69"/>
      <c r="J1462" s="69"/>
      <c r="K1462" s="69"/>
      <c r="L1462" s="69"/>
      <c r="M1462" s="69"/>
      <c r="N1462" s="69"/>
      <c r="O1462" s="69"/>
      <c r="P1462" s="69"/>
      <c r="Q1462" s="69"/>
      <c r="R1462" s="69"/>
      <c r="S1462" s="69"/>
      <c r="T1462" s="69"/>
      <c r="U1462" s="69"/>
      <c r="V1462" s="69"/>
      <c r="W1462" s="69"/>
    </row>
    <row r="1463" spans="1:23" x14ac:dyDescent="0.3">
      <c r="G1463" s="69"/>
      <c r="H1463" s="69"/>
      <c r="I1463" s="69"/>
      <c r="J1463" s="69"/>
      <c r="K1463" s="69"/>
      <c r="L1463" s="69"/>
      <c r="M1463" s="69"/>
      <c r="N1463" s="69"/>
      <c r="O1463" s="69"/>
      <c r="P1463" s="69"/>
      <c r="Q1463" s="69"/>
      <c r="R1463" s="69"/>
      <c r="S1463" s="69"/>
      <c r="T1463" s="69"/>
      <c r="U1463" s="69"/>
      <c r="V1463" s="69"/>
      <c r="W1463" s="69"/>
    </row>
    <row r="1464" spans="1:23" x14ac:dyDescent="0.3">
      <c r="G1464" s="69"/>
      <c r="H1464" s="69"/>
      <c r="I1464" s="69"/>
      <c r="J1464" s="69"/>
      <c r="K1464" s="69"/>
      <c r="L1464" s="69"/>
      <c r="M1464" s="69"/>
      <c r="N1464" s="69"/>
      <c r="O1464" s="69"/>
      <c r="P1464" s="69"/>
      <c r="Q1464" s="69"/>
      <c r="R1464" s="69"/>
      <c r="S1464" s="69"/>
      <c r="T1464" s="69"/>
      <c r="U1464" s="69"/>
      <c r="V1464" s="69"/>
      <c r="W1464" s="69"/>
    </row>
    <row r="1465" spans="1:23" x14ac:dyDescent="0.3">
      <c r="G1465" s="69"/>
      <c r="H1465" s="69"/>
      <c r="I1465" s="69"/>
      <c r="J1465" s="69"/>
      <c r="K1465" s="69"/>
      <c r="L1465" s="69"/>
      <c r="M1465" s="69"/>
      <c r="N1465" s="69"/>
      <c r="O1465" s="69"/>
      <c r="P1465" s="69"/>
      <c r="Q1465" s="69"/>
      <c r="R1465" s="69"/>
      <c r="S1465" s="69"/>
      <c r="T1465" s="69"/>
      <c r="U1465" s="69"/>
      <c r="V1465" s="69"/>
      <c r="W1465" s="69"/>
    </row>
    <row r="1466" spans="1:23" x14ac:dyDescent="0.3">
      <c r="G1466" s="69"/>
      <c r="H1466" s="69"/>
      <c r="I1466" s="69"/>
      <c r="J1466" s="69"/>
      <c r="K1466" s="69"/>
      <c r="L1466" s="69"/>
      <c r="M1466" s="69"/>
      <c r="N1466" s="69"/>
      <c r="O1466" s="69"/>
      <c r="P1466" s="69"/>
      <c r="Q1466" s="69"/>
      <c r="R1466" s="69"/>
      <c r="S1466" s="69"/>
      <c r="T1466" s="69"/>
      <c r="U1466" s="69"/>
      <c r="V1466" s="69"/>
      <c r="W1466" s="69"/>
    </row>
    <row r="1467" spans="1:23" x14ac:dyDescent="0.3">
      <c r="G1467" s="69"/>
      <c r="H1467" s="69"/>
      <c r="I1467" s="69"/>
      <c r="J1467" s="69"/>
      <c r="K1467" s="69"/>
      <c r="L1467" s="69"/>
      <c r="M1467" s="69"/>
      <c r="N1467" s="69"/>
      <c r="O1467" s="69"/>
      <c r="P1467" s="69"/>
      <c r="Q1467" s="69"/>
      <c r="R1467" s="69"/>
      <c r="S1467" s="69"/>
      <c r="T1467" s="69"/>
      <c r="U1467" s="69"/>
      <c r="V1467" s="69"/>
      <c r="W1467" s="69"/>
    </row>
    <row r="1468" spans="1:23" x14ac:dyDescent="0.3">
      <c r="G1468" s="69"/>
      <c r="H1468" s="69"/>
      <c r="I1468" s="69"/>
      <c r="J1468" s="69"/>
      <c r="K1468" s="69"/>
      <c r="L1468" s="69"/>
      <c r="M1468" s="69"/>
      <c r="N1468" s="69"/>
      <c r="O1468" s="69"/>
      <c r="P1468" s="69"/>
      <c r="Q1468" s="69"/>
      <c r="R1468" s="69"/>
      <c r="S1468" s="69"/>
      <c r="T1468" s="69"/>
      <c r="U1468" s="69"/>
      <c r="V1468" s="69"/>
      <c r="W1468" s="69"/>
    </row>
    <row r="1469" spans="1:23" x14ac:dyDescent="0.3">
      <c r="G1469" s="69"/>
      <c r="H1469" s="69"/>
      <c r="I1469" s="69"/>
      <c r="J1469" s="69"/>
      <c r="K1469" s="69"/>
      <c r="L1469" s="69"/>
      <c r="M1469" s="69"/>
      <c r="N1469" s="69"/>
      <c r="O1469" s="69"/>
      <c r="P1469" s="69"/>
      <c r="Q1469" s="69"/>
      <c r="R1469" s="69"/>
      <c r="S1469" s="69"/>
      <c r="T1469" s="69"/>
      <c r="U1469" s="69"/>
      <c r="V1469" s="69"/>
      <c r="W1469" s="69"/>
    </row>
    <row r="1470" spans="1:23" x14ac:dyDescent="0.3">
      <c r="G1470" s="69"/>
      <c r="H1470" s="69"/>
      <c r="I1470" s="69"/>
      <c r="J1470" s="69"/>
      <c r="K1470" s="69"/>
      <c r="L1470" s="69"/>
      <c r="M1470" s="69"/>
      <c r="N1470" s="69"/>
      <c r="O1470" s="69"/>
      <c r="P1470" s="69"/>
      <c r="Q1470" s="69"/>
      <c r="R1470" s="69"/>
      <c r="S1470" s="69"/>
      <c r="T1470" s="69"/>
      <c r="U1470" s="69"/>
      <c r="V1470" s="69"/>
      <c r="W1470" s="69"/>
    </row>
    <row r="1471" spans="1:23" x14ac:dyDescent="0.3">
      <c r="G1471" s="69"/>
      <c r="H1471" s="69"/>
      <c r="I1471" s="69"/>
      <c r="J1471" s="69"/>
      <c r="K1471" s="69"/>
      <c r="L1471" s="69"/>
      <c r="M1471" s="69"/>
      <c r="N1471" s="69"/>
      <c r="O1471" s="69"/>
      <c r="P1471" s="69"/>
      <c r="Q1471" s="69"/>
      <c r="R1471" s="69"/>
      <c r="S1471" s="69"/>
      <c r="T1471" s="69"/>
      <c r="U1471" s="69"/>
      <c r="V1471" s="69"/>
      <c r="W1471" s="69"/>
    </row>
    <row r="1472" spans="1:23" x14ac:dyDescent="0.3">
      <c r="G1472" s="69"/>
      <c r="H1472" s="69"/>
      <c r="I1472" s="69"/>
      <c r="J1472" s="69"/>
      <c r="K1472" s="69"/>
      <c r="L1472" s="69"/>
      <c r="M1472" s="69"/>
      <c r="N1472" s="69"/>
      <c r="O1472" s="69"/>
      <c r="P1472" s="69"/>
      <c r="Q1472" s="69"/>
      <c r="R1472" s="69"/>
      <c r="S1472" s="69"/>
      <c r="T1472" s="69"/>
      <c r="U1472" s="69"/>
      <c r="V1472" s="69"/>
      <c r="W1472" s="69"/>
    </row>
    <row r="1473" spans="7:23" x14ac:dyDescent="0.3">
      <c r="G1473" s="69"/>
      <c r="H1473" s="69"/>
      <c r="I1473" s="69"/>
      <c r="J1473" s="69"/>
      <c r="K1473" s="69"/>
      <c r="L1473" s="69"/>
      <c r="M1473" s="69"/>
      <c r="N1473" s="69"/>
      <c r="O1473" s="69"/>
      <c r="P1473" s="69"/>
      <c r="Q1473" s="69"/>
      <c r="R1473" s="69"/>
      <c r="S1473" s="69"/>
      <c r="T1473" s="69"/>
      <c r="U1473" s="69"/>
      <c r="V1473" s="69"/>
      <c r="W1473" s="69"/>
    </row>
    <row r="1474" spans="7:23" x14ac:dyDescent="0.3">
      <c r="G1474" s="69"/>
      <c r="H1474" s="69"/>
      <c r="I1474" s="69"/>
      <c r="J1474" s="69"/>
      <c r="K1474" s="69"/>
      <c r="L1474" s="69"/>
      <c r="M1474" s="69"/>
      <c r="N1474" s="69"/>
      <c r="O1474" s="69"/>
      <c r="P1474" s="69"/>
      <c r="Q1474" s="69"/>
      <c r="R1474" s="69"/>
      <c r="S1474" s="69"/>
      <c r="T1474" s="69"/>
      <c r="U1474" s="69"/>
      <c r="V1474" s="69"/>
      <c r="W1474" s="69"/>
    </row>
    <row r="1475" spans="7:23" x14ac:dyDescent="0.3">
      <c r="G1475" s="69"/>
      <c r="H1475" s="69"/>
      <c r="I1475" s="69"/>
      <c r="J1475" s="69"/>
      <c r="K1475" s="69"/>
      <c r="L1475" s="69"/>
      <c r="M1475" s="69"/>
      <c r="N1475" s="69"/>
      <c r="O1475" s="69"/>
      <c r="P1475" s="69"/>
      <c r="Q1475" s="69"/>
      <c r="R1475" s="69"/>
      <c r="S1475" s="69"/>
      <c r="T1475" s="69"/>
      <c r="U1475" s="69"/>
      <c r="V1475" s="69"/>
      <c r="W1475" s="69"/>
    </row>
    <row r="1476" spans="7:23" x14ac:dyDescent="0.3">
      <c r="G1476" s="69"/>
      <c r="H1476" s="69"/>
      <c r="I1476" s="69"/>
      <c r="J1476" s="69"/>
      <c r="K1476" s="69"/>
      <c r="L1476" s="69"/>
      <c r="M1476" s="69"/>
      <c r="N1476" s="69"/>
      <c r="O1476" s="69"/>
      <c r="P1476" s="69"/>
      <c r="Q1476" s="69"/>
      <c r="R1476" s="69"/>
      <c r="S1476" s="69"/>
      <c r="T1476" s="69"/>
      <c r="U1476" s="69"/>
      <c r="V1476" s="69"/>
      <c r="W1476" s="69"/>
    </row>
    <row r="1477" spans="7:23" x14ac:dyDescent="0.3">
      <c r="G1477" s="69"/>
      <c r="H1477" s="69"/>
      <c r="I1477" s="69"/>
      <c r="J1477" s="69"/>
      <c r="K1477" s="69"/>
      <c r="L1477" s="69"/>
      <c r="M1477" s="69"/>
      <c r="N1477" s="69"/>
      <c r="O1477" s="69"/>
      <c r="P1477" s="69"/>
      <c r="Q1477" s="69"/>
      <c r="R1477" s="69"/>
      <c r="S1477" s="69"/>
      <c r="T1477" s="69"/>
      <c r="U1477" s="69"/>
      <c r="V1477" s="69"/>
      <c r="W1477" s="69"/>
    </row>
    <row r="1478" spans="7:23" x14ac:dyDescent="0.3">
      <c r="G1478" s="69"/>
      <c r="H1478" s="69"/>
      <c r="I1478" s="69"/>
      <c r="J1478" s="69"/>
      <c r="K1478" s="69"/>
      <c r="L1478" s="69"/>
      <c r="M1478" s="69"/>
      <c r="N1478" s="69"/>
      <c r="O1478" s="69"/>
      <c r="P1478" s="69"/>
      <c r="Q1478" s="69"/>
      <c r="R1478" s="69"/>
      <c r="S1478" s="69"/>
      <c r="T1478" s="69"/>
      <c r="U1478" s="69"/>
      <c r="V1478" s="69"/>
      <c r="W1478" s="69"/>
    </row>
    <row r="1479" spans="7:23" x14ac:dyDescent="0.3">
      <c r="G1479" s="69"/>
      <c r="H1479" s="69"/>
      <c r="I1479" s="69"/>
      <c r="J1479" s="69"/>
      <c r="K1479" s="69"/>
      <c r="L1479" s="69"/>
      <c r="M1479" s="69"/>
      <c r="N1479" s="69"/>
      <c r="O1479" s="69"/>
      <c r="P1479" s="69"/>
      <c r="Q1479" s="69"/>
      <c r="R1479" s="69"/>
      <c r="S1479" s="69"/>
      <c r="T1479" s="69"/>
      <c r="U1479" s="69"/>
      <c r="V1479" s="69"/>
      <c r="W1479" s="69"/>
    </row>
    <row r="1480" spans="7:23" x14ac:dyDescent="0.3">
      <c r="G1480" s="69"/>
      <c r="H1480" s="69"/>
      <c r="I1480" s="69"/>
      <c r="J1480" s="69"/>
      <c r="K1480" s="69"/>
      <c r="L1480" s="69"/>
      <c r="M1480" s="69"/>
      <c r="N1480" s="69"/>
      <c r="O1480" s="69"/>
      <c r="P1480" s="69"/>
      <c r="Q1480" s="69"/>
      <c r="R1480" s="69"/>
      <c r="S1480" s="69"/>
      <c r="T1480" s="69"/>
      <c r="U1480" s="69"/>
      <c r="V1480" s="69"/>
      <c r="W1480" s="69"/>
    </row>
    <row r="1481" spans="7:23" x14ac:dyDescent="0.3">
      <c r="G1481" s="69"/>
      <c r="H1481" s="69"/>
      <c r="I1481" s="69"/>
      <c r="J1481" s="69"/>
      <c r="K1481" s="69"/>
      <c r="L1481" s="69"/>
      <c r="M1481" s="69"/>
      <c r="N1481" s="69"/>
      <c r="O1481" s="69"/>
      <c r="P1481" s="69"/>
      <c r="Q1481" s="69"/>
      <c r="R1481" s="69"/>
      <c r="S1481" s="69"/>
      <c r="T1481" s="69"/>
      <c r="U1481" s="69"/>
      <c r="V1481" s="69"/>
      <c r="W1481" s="69"/>
    </row>
    <row r="1482" spans="7:23" x14ac:dyDescent="0.3">
      <c r="G1482" s="69"/>
      <c r="H1482" s="69"/>
      <c r="I1482" s="69"/>
      <c r="J1482" s="69"/>
      <c r="K1482" s="69"/>
      <c r="L1482" s="69"/>
      <c r="M1482" s="69"/>
      <c r="N1482" s="69"/>
      <c r="O1482" s="69"/>
      <c r="P1482" s="69"/>
      <c r="Q1482" s="69"/>
      <c r="R1482" s="69"/>
      <c r="S1482" s="69"/>
      <c r="T1482" s="69"/>
      <c r="U1482" s="69"/>
      <c r="V1482" s="69"/>
      <c r="W1482" s="69"/>
    </row>
    <row r="1483" spans="7:23" x14ac:dyDescent="0.3">
      <c r="G1483" s="69"/>
      <c r="H1483" s="69"/>
      <c r="I1483" s="69"/>
      <c r="J1483" s="69"/>
      <c r="K1483" s="69"/>
      <c r="L1483" s="69"/>
      <c r="M1483" s="69"/>
      <c r="N1483" s="69"/>
      <c r="O1483" s="69"/>
      <c r="P1483" s="69"/>
      <c r="Q1483" s="69"/>
      <c r="R1483" s="69"/>
      <c r="S1483" s="69"/>
      <c r="T1483" s="69"/>
      <c r="U1483" s="69"/>
      <c r="V1483" s="69"/>
      <c r="W1483" s="69"/>
    </row>
    <row r="1484" spans="7:23" x14ac:dyDescent="0.3">
      <c r="G1484" s="69"/>
      <c r="H1484" s="69"/>
      <c r="I1484" s="69"/>
      <c r="J1484" s="69"/>
      <c r="K1484" s="69"/>
      <c r="L1484" s="69"/>
      <c r="M1484" s="69"/>
      <c r="N1484" s="69"/>
      <c r="O1484" s="69"/>
      <c r="P1484" s="69"/>
      <c r="Q1484" s="69"/>
      <c r="R1484" s="69"/>
      <c r="S1484" s="69"/>
      <c r="T1484" s="69"/>
      <c r="U1484" s="69"/>
      <c r="V1484" s="69"/>
      <c r="W1484" s="69"/>
    </row>
    <row r="1485" spans="7:23" x14ac:dyDescent="0.3">
      <c r="G1485" s="69"/>
      <c r="H1485" s="69"/>
      <c r="I1485" s="69"/>
      <c r="J1485" s="69"/>
      <c r="K1485" s="69"/>
      <c r="L1485" s="69"/>
      <c r="M1485" s="69"/>
      <c r="N1485" s="69"/>
      <c r="O1485" s="69"/>
      <c r="P1485" s="69"/>
      <c r="Q1485" s="69"/>
      <c r="R1485" s="69"/>
      <c r="S1485" s="69"/>
      <c r="T1485" s="69"/>
      <c r="U1485" s="69"/>
      <c r="V1485" s="69"/>
      <c r="W1485" s="69"/>
    </row>
    <row r="1486" spans="7:23" x14ac:dyDescent="0.3">
      <c r="G1486" s="69"/>
      <c r="H1486" s="69"/>
      <c r="I1486" s="69"/>
      <c r="J1486" s="69"/>
      <c r="K1486" s="69"/>
      <c r="L1486" s="69"/>
      <c r="M1486" s="69"/>
      <c r="N1486" s="69"/>
      <c r="O1486" s="69"/>
      <c r="P1486" s="69"/>
      <c r="Q1486" s="69"/>
      <c r="R1486" s="69"/>
      <c r="S1486" s="69"/>
      <c r="T1486" s="69"/>
      <c r="U1486" s="69"/>
      <c r="V1486" s="69"/>
      <c r="W1486" s="69"/>
    </row>
    <row r="1487" spans="7:23" x14ac:dyDescent="0.3">
      <c r="G1487" s="69"/>
      <c r="H1487" s="69"/>
      <c r="I1487" s="69"/>
      <c r="J1487" s="69"/>
      <c r="K1487" s="69"/>
      <c r="L1487" s="69"/>
      <c r="M1487" s="69"/>
      <c r="N1487" s="69"/>
      <c r="O1487" s="69"/>
      <c r="P1487" s="69"/>
      <c r="Q1487" s="69"/>
      <c r="R1487" s="69"/>
      <c r="S1487" s="69"/>
      <c r="T1487" s="69"/>
      <c r="U1487" s="69"/>
      <c r="V1487" s="69"/>
      <c r="W1487" s="69"/>
    </row>
    <row r="1488" spans="7:23" x14ac:dyDescent="0.3">
      <c r="G1488" s="69"/>
      <c r="H1488" s="69"/>
      <c r="I1488" s="69"/>
      <c r="J1488" s="69"/>
      <c r="K1488" s="69"/>
      <c r="L1488" s="69"/>
      <c r="M1488" s="69"/>
      <c r="N1488" s="69"/>
      <c r="O1488" s="69"/>
      <c r="P1488" s="69"/>
      <c r="Q1488" s="69"/>
      <c r="R1488" s="69"/>
      <c r="S1488" s="69"/>
      <c r="T1488" s="69"/>
      <c r="U1488" s="69"/>
      <c r="V1488" s="69"/>
      <c r="W1488" s="69"/>
    </row>
    <row r="1489" spans="7:23" x14ac:dyDescent="0.3">
      <c r="G1489" s="69"/>
      <c r="H1489" s="69"/>
      <c r="I1489" s="69"/>
      <c r="J1489" s="69"/>
      <c r="K1489" s="69"/>
      <c r="L1489" s="69"/>
      <c r="M1489" s="69"/>
      <c r="N1489" s="69"/>
      <c r="O1489" s="69"/>
      <c r="P1489" s="69"/>
      <c r="Q1489" s="69"/>
      <c r="R1489" s="69"/>
      <c r="S1489" s="69"/>
      <c r="T1489" s="69"/>
      <c r="U1489" s="69"/>
      <c r="V1489" s="69"/>
      <c r="W1489" s="69"/>
    </row>
    <row r="1490" spans="7:23" x14ac:dyDescent="0.3">
      <c r="G1490" s="69"/>
      <c r="H1490" s="69"/>
      <c r="I1490" s="69"/>
      <c r="J1490" s="69"/>
      <c r="K1490" s="69"/>
      <c r="L1490" s="69"/>
      <c r="M1490" s="69"/>
      <c r="N1490" s="69"/>
      <c r="O1490" s="69"/>
      <c r="P1490" s="69"/>
      <c r="Q1490" s="69"/>
      <c r="R1490" s="69"/>
      <c r="S1490" s="69"/>
      <c r="T1490" s="69"/>
      <c r="U1490" s="69"/>
      <c r="V1490" s="69"/>
      <c r="W1490" s="69"/>
    </row>
    <row r="1491" spans="7:23" x14ac:dyDescent="0.3">
      <c r="G1491" s="69"/>
      <c r="H1491" s="69"/>
      <c r="I1491" s="69"/>
      <c r="J1491" s="69"/>
      <c r="K1491" s="69"/>
      <c r="L1491" s="69"/>
      <c r="M1491" s="69"/>
      <c r="N1491" s="69"/>
      <c r="O1491" s="69"/>
      <c r="P1491" s="69"/>
      <c r="Q1491" s="69"/>
      <c r="R1491" s="69"/>
      <c r="S1491" s="69"/>
      <c r="T1491" s="69"/>
      <c r="U1491" s="69"/>
      <c r="V1491" s="69"/>
      <c r="W1491" s="69"/>
    </row>
    <row r="1492" spans="7:23" x14ac:dyDescent="0.3">
      <c r="G1492" s="69"/>
      <c r="H1492" s="69"/>
      <c r="I1492" s="69"/>
      <c r="J1492" s="69"/>
      <c r="K1492" s="69"/>
      <c r="L1492" s="69"/>
      <c r="M1492" s="69"/>
      <c r="N1492" s="69"/>
      <c r="O1492" s="69"/>
      <c r="P1492" s="69"/>
      <c r="Q1492" s="69"/>
      <c r="R1492" s="69"/>
      <c r="S1492" s="69"/>
      <c r="T1492" s="69"/>
      <c r="U1492" s="69"/>
      <c r="V1492" s="69"/>
      <c r="W1492" s="69"/>
    </row>
    <row r="1493" spans="7:23" x14ac:dyDescent="0.3">
      <c r="G1493" s="69"/>
      <c r="H1493" s="69"/>
      <c r="I1493" s="69"/>
      <c r="J1493" s="69"/>
      <c r="K1493" s="69"/>
      <c r="L1493" s="69"/>
      <c r="M1493" s="69"/>
      <c r="N1493" s="69"/>
      <c r="O1493" s="69"/>
      <c r="P1493" s="69"/>
      <c r="Q1493" s="69"/>
      <c r="R1493" s="69"/>
      <c r="S1493" s="69"/>
      <c r="T1493" s="69"/>
      <c r="U1493" s="69"/>
      <c r="V1493" s="69"/>
      <c r="W1493" s="69"/>
    </row>
    <row r="1494" spans="7:23" x14ac:dyDescent="0.3">
      <c r="G1494" s="69"/>
      <c r="H1494" s="69"/>
      <c r="I1494" s="69"/>
      <c r="J1494" s="69"/>
      <c r="K1494" s="69"/>
      <c r="L1494" s="69"/>
      <c r="M1494" s="69"/>
      <c r="N1494" s="69"/>
      <c r="O1494" s="69"/>
      <c r="P1494" s="69"/>
      <c r="Q1494" s="69"/>
      <c r="R1494" s="69"/>
      <c r="S1494" s="69"/>
      <c r="T1494" s="69"/>
      <c r="U1494" s="69"/>
      <c r="V1494" s="69"/>
      <c r="W1494" s="69"/>
    </row>
    <row r="1495" spans="7:23" x14ac:dyDescent="0.3">
      <c r="G1495" s="69"/>
      <c r="H1495" s="69"/>
      <c r="I1495" s="69"/>
      <c r="J1495" s="69"/>
      <c r="K1495" s="69"/>
      <c r="L1495" s="69"/>
      <c r="M1495" s="69"/>
      <c r="N1495" s="69"/>
      <c r="O1495" s="69"/>
      <c r="P1495" s="69"/>
      <c r="Q1495" s="69"/>
      <c r="R1495" s="69"/>
      <c r="S1495" s="69"/>
      <c r="T1495" s="69"/>
      <c r="U1495" s="69"/>
      <c r="V1495" s="69"/>
      <c r="W1495" s="69"/>
    </row>
    <row r="1496" spans="7:23" x14ac:dyDescent="0.3">
      <c r="G1496" s="69"/>
      <c r="H1496" s="69"/>
      <c r="I1496" s="69"/>
      <c r="J1496" s="69"/>
      <c r="K1496" s="69"/>
      <c r="L1496" s="69"/>
      <c r="M1496" s="69"/>
      <c r="N1496" s="69"/>
      <c r="O1496" s="69"/>
      <c r="P1496" s="69"/>
      <c r="Q1496" s="69"/>
      <c r="R1496" s="69"/>
      <c r="S1496" s="69"/>
      <c r="T1496" s="69"/>
      <c r="U1496" s="69"/>
      <c r="V1496" s="69"/>
      <c r="W1496" s="69"/>
    </row>
    <row r="1497" spans="7:23" x14ac:dyDescent="0.3">
      <c r="G1497" s="69"/>
      <c r="H1497" s="69"/>
      <c r="I1497" s="69"/>
      <c r="J1497" s="69"/>
      <c r="K1497" s="69"/>
      <c r="L1497" s="69"/>
      <c r="M1497" s="69"/>
      <c r="N1497" s="69"/>
      <c r="O1497" s="69"/>
      <c r="P1497" s="69"/>
      <c r="Q1497" s="69"/>
      <c r="R1497" s="69"/>
      <c r="S1497" s="69"/>
      <c r="T1497" s="69"/>
      <c r="U1497" s="69"/>
      <c r="V1497" s="69"/>
      <c r="W1497" s="69"/>
    </row>
    <row r="1498" spans="7:23" x14ac:dyDescent="0.3">
      <c r="G1498" s="69"/>
      <c r="H1498" s="69"/>
      <c r="I1498" s="69"/>
      <c r="J1498" s="69"/>
      <c r="K1498" s="69"/>
      <c r="L1498" s="69"/>
      <c r="M1498" s="69"/>
      <c r="N1498" s="69"/>
      <c r="O1498" s="69"/>
      <c r="P1498" s="69"/>
      <c r="Q1498" s="69"/>
      <c r="R1498" s="69"/>
      <c r="S1498" s="69"/>
      <c r="T1498" s="69"/>
      <c r="U1498" s="69"/>
      <c r="V1498" s="69"/>
      <c r="W1498" s="69"/>
    </row>
    <row r="1499" spans="7:23" x14ac:dyDescent="0.3">
      <c r="G1499" s="69"/>
      <c r="H1499" s="69"/>
      <c r="I1499" s="69"/>
      <c r="J1499" s="69"/>
      <c r="K1499" s="69"/>
      <c r="L1499" s="69"/>
      <c r="M1499" s="69"/>
      <c r="N1499" s="69"/>
      <c r="O1499" s="69"/>
      <c r="P1499" s="69"/>
      <c r="Q1499" s="69"/>
      <c r="R1499" s="69"/>
      <c r="S1499" s="69"/>
      <c r="T1499" s="69"/>
      <c r="U1499" s="69"/>
      <c r="V1499" s="69"/>
      <c r="W1499" s="69"/>
    </row>
    <row r="1500" spans="7:23" x14ac:dyDescent="0.3">
      <c r="G1500" s="69"/>
      <c r="H1500" s="69"/>
      <c r="I1500" s="69"/>
      <c r="J1500" s="69"/>
      <c r="K1500" s="69"/>
      <c r="L1500" s="69"/>
      <c r="M1500" s="69"/>
      <c r="N1500" s="69"/>
      <c r="O1500" s="69"/>
      <c r="P1500" s="69"/>
      <c r="Q1500" s="69"/>
      <c r="R1500" s="69"/>
      <c r="S1500" s="69"/>
      <c r="T1500" s="69"/>
      <c r="U1500" s="69"/>
      <c r="V1500" s="69"/>
      <c r="W1500" s="69"/>
    </row>
    <row r="1501" spans="7:23" x14ac:dyDescent="0.3">
      <c r="G1501" s="69"/>
      <c r="H1501" s="69"/>
      <c r="I1501" s="69"/>
      <c r="J1501" s="69"/>
      <c r="K1501" s="69"/>
      <c r="L1501" s="69"/>
      <c r="M1501" s="69"/>
      <c r="N1501" s="69"/>
      <c r="O1501" s="69"/>
      <c r="P1501" s="69"/>
      <c r="Q1501" s="69"/>
      <c r="R1501" s="69"/>
      <c r="S1501" s="69"/>
      <c r="T1501" s="69"/>
      <c r="U1501" s="69"/>
      <c r="V1501" s="69"/>
      <c r="W1501" s="69"/>
    </row>
    <row r="1502" spans="7:23" x14ac:dyDescent="0.3">
      <c r="G1502" s="69"/>
      <c r="H1502" s="69"/>
      <c r="I1502" s="69"/>
      <c r="J1502" s="69"/>
      <c r="K1502" s="69"/>
      <c r="L1502" s="69"/>
      <c r="M1502" s="69"/>
      <c r="N1502" s="69"/>
      <c r="O1502" s="69"/>
      <c r="P1502" s="69"/>
      <c r="Q1502" s="69"/>
      <c r="R1502" s="69"/>
      <c r="S1502" s="69"/>
      <c r="T1502" s="69"/>
      <c r="U1502" s="69"/>
      <c r="V1502" s="69"/>
      <c r="W1502" s="69"/>
    </row>
    <row r="1503" spans="7:23" x14ac:dyDescent="0.3">
      <c r="G1503" s="69"/>
      <c r="H1503" s="69"/>
      <c r="I1503" s="69"/>
      <c r="J1503" s="69"/>
      <c r="K1503" s="69"/>
      <c r="L1503" s="69"/>
      <c r="M1503" s="69"/>
      <c r="N1503" s="69"/>
      <c r="O1503" s="69"/>
      <c r="P1503" s="69"/>
      <c r="Q1503" s="69"/>
      <c r="R1503" s="69"/>
      <c r="S1503" s="69"/>
      <c r="T1503" s="69"/>
      <c r="U1503" s="69"/>
      <c r="V1503" s="69"/>
      <c r="W1503" s="69"/>
    </row>
    <row r="1504" spans="7:23" x14ac:dyDescent="0.3">
      <c r="G1504" s="69"/>
      <c r="H1504" s="69"/>
      <c r="I1504" s="69"/>
      <c r="J1504" s="69"/>
      <c r="K1504" s="69"/>
      <c r="L1504" s="69"/>
      <c r="M1504" s="69"/>
      <c r="N1504" s="69"/>
      <c r="O1504" s="69"/>
      <c r="P1504" s="69"/>
      <c r="Q1504" s="69"/>
      <c r="R1504" s="69"/>
      <c r="S1504" s="69"/>
      <c r="T1504" s="69"/>
      <c r="U1504" s="69"/>
      <c r="V1504" s="69"/>
      <c r="W1504" s="69"/>
    </row>
    <row r="1505" spans="7:23" x14ac:dyDescent="0.3">
      <c r="G1505" s="69"/>
      <c r="H1505" s="69"/>
      <c r="I1505" s="69"/>
      <c r="J1505" s="69"/>
      <c r="K1505" s="69"/>
      <c r="L1505" s="69"/>
      <c r="M1505" s="69"/>
      <c r="N1505" s="69"/>
      <c r="O1505" s="69"/>
      <c r="P1505" s="69"/>
      <c r="Q1505" s="69"/>
      <c r="R1505" s="69"/>
      <c r="S1505" s="69"/>
      <c r="T1505" s="69"/>
      <c r="U1505" s="69"/>
      <c r="V1505" s="69"/>
      <c r="W1505" s="69"/>
    </row>
    <row r="1506" spans="7:23" x14ac:dyDescent="0.3">
      <c r="G1506" s="69"/>
      <c r="H1506" s="69"/>
      <c r="I1506" s="69"/>
      <c r="J1506" s="69"/>
      <c r="K1506" s="69"/>
      <c r="L1506" s="69"/>
      <c r="M1506" s="69"/>
      <c r="N1506" s="69"/>
      <c r="O1506" s="69"/>
      <c r="P1506" s="69"/>
      <c r="Q1506" s="69"/>
      <c r="R1506" s="69"/>
      <c r="S1506" s="69"/>
      <c r="T1506" s="69"/>
      <c r="U1506" s="69"/>
      <c r="V1506" s="69"/>
      <c r="W1506" s="69"/>
    </row>
    <row r="1507" spans="7:23" x14ac:dyDescent="0.3">
      <c r="G1507" s="69"/>
      <c r="H1507" s="69"/>
      <c r="I1507" s="69"/>
      <c r="J1507" s="69"/>
      <c r="K1507" s="69"/>
      <c r="L1507" s="69"/>
      <c r="M1507" s="69"/>
      <c r="N1507" s="69"/>
      <c r="O1507" s="69"/>
      <c r="P1507" s="69"/>
      <c r="Q1507" s="69"/>
      <c r="R1507" s="69"/>
      <c r="S1507" s="69"/>
      <c r="T1507" s="69"/>
      <c r="U1507" s="69"/>
      <c r="V1507" s="69"/>
      <c r="W1507" s="69"/>
    </row>
    <row r="1508" spans="7:23" x14ac:dyDescent="0.3">
      <c r="G1508" s="69"/>
      <c r="H1508" s="69"/>
      <c r="I1508" s="69"/>
      <c r="J1508" s="69"/>
      <c r="K1508" s="69"/>
      <c r="L1508" s="69"/>
      <c r="M1508" s="69"/>
      <c r="N1508" s="69"/>
      <c r="O1508" s="69"/>
      <c r="P1508" s="69"/>
      <c r="Q1508" s="69"/>
      <c r="R1508" s="69"/>
      <c r="S1508" s="69"/>
      <c r="T1508" s="69"/>
      <c r="U1508" s="69"/>
      <c r="V1508" s="69"/>
      <c r="W1508" s="69"/>
    </row>
    <row r="1509" spans="7:23" x14ac:dyDescent="0.3">
      <c r="G1509" s="69"/>
      <c r="H1509" s="69"/>
      <c r="I1509" s="69"/>
      <c r="J1509" s="69"/>
      <c r="K1509" s="69"/>
      <c r="L1509" s="69"/>
      <c r="M1509" s="69"/>
      <c r="N1509" s="69"/>
      <c r="O1509" s="69"/>
      <c r="P1509" s="69"/>
      <c r="Q1509" s="69"/>
      <c r="R1509" s="69"/>
      <c r="S1509" s="69"/>
      <c r="T1509" s="69"/>
      <c r="U1509" s="69"/>
      <c r="V1509" s="69"/>
      <c r="W1509" s="69"/>
    </row>
    <row r="1510" spans="7:23" x14ac:dyDescent="0.3">
      <c r="G1510" s="69"/>
      <c r="H1510" s="69"/>
      <c r="I1510" s="69"/>
      <c r="J1510" s="69"/>
      <c r="K1510" s="69"/>
      <c r="L1510" s="69"/>
      <c r="M1510" s="69"/>
      <c r="N1510" s="69"/>
      <c r="O1510" s="69"/>
      <c r="P1510" s="69"/>
      <c r="Q1510" s="69"/>
      <c r="R1510" s="69"/>
      <c r="S1510" s="69"/>
      <c r="T1510" s="69"/>
      <c r="U1510" s="69"/>
      <c r="V1510" s="69"/>
      <c r="W1510" s="69"/>
    </row>
    <row r="1511" spans="7:23" x14ac:dyDescent="0.3">
      <c r="G1511" s="69"/>
      <c r="H1511" s="69"/>
      <c r="I1511" s="69"/>
      <c r="J1511" s="69"/>
      <c r="K1511" s="69"/>
      <c r="L1511" s="69"/>
      <c r="M1511" s="69"/>
      <c r="N1511" s="69"/>
      <c r="O1511" s="69"/>
      <c r="P1511" s="69"/>
      <c r="Q1511" s="69"/>
      <c r="R1511" s="69"/>
      <c r="S1511" s="69"/>
      <c r="T1511" s="69"/>
      <c r="U1511" s="69"/>
      <c r="V1511" s="69"/>
      <c r="W1511" s="69"/>
    </row>
    <row r="1512" spans="7:23" x14ac:dyDescent="0.3">
      <c r="G1512" s="69"/>
      <c r="H1512" s="69"/>
      <c r="I1512" s="69"/>
      <c r="J1512" s="69"/>
      <c r="K1512" s="69"/>
      <c r="L1512" s="69"/>
      <c r="M1512" s="69"/>
      <c r="N1512" s="69"/>
      <c r="O1512" s="69"/>
      <c r="P1512" s="69"/>
      <c r="Q1512" s="69"/>
      <c r="R1512" s="69"/>
      <c r="S1512" s="69"/>
      <c r="T1512" s="69"/>
      <c r="U1512" s="69"/>
      <c r="V1512" s="69"/>
      <c r="W1512" s="69"/>
    </row>
    <row r="1513" spans="7:23" x14ac:dyDescent="0.3">
      <c r="G1513" s="69"/>
      <c r="H1513" s="69"/>
      <c r="I1513" s="69"/>
      <c r="J1513" s="69"/>
      <c r="K1513" s="69"/>
      <c r="L1513" s="69"/>
      <c r="M1513" s="69"/>
      <c r="N1513" s="69"/>
      <c r="O1513" s="69"/>
      <c r="P1513" s="69"/>
      <c r="Q1513" s="69"/>
      <c r="R1513" s="69"/>
      <c r="S1513" s="69"/>
      <c r="T1513" s="69"/>
      <c r="U1513" s="69"/>
      <c r="V1513" s="69"/>
      <c r="W1513" s="69"/>
    </row>
    <row r="1514" spans="7:23" x14ac:dyDescent="0.3">
      <c r="G1514" s="69"/>
      <c r="H1514" s="69"/>
      <c r="I1514" s="69"/>
      <c r="J1514" s="69"/>
      <c r="K1514" s="69"/>
      <c r="L1514" s="69"/>
      <c r="M1514" s="69"/>
      <c r="N1514" s="69"/>
      <c r="O1514" s="69"/>
      <c r="P1514" s="69"/>
      <c r="Q1514" s="69"/>
      <c r="R1514" s="69"/>
      <c r="S1514" s="69"/>
      <c r="T1514" s="69"/>
      <c r="U1514" s="69"/>
      <c r="V1514" s="69"/>
      <c r="W1514" s="69"/>
    </row>
    <row r="1515" spans="7:23" x14ac:dyDescent="0.3">
      <c r="G1515" s="69"/>
      <c r="H1515" s="69"/>
      <c r="I1515" s="69"/>
      <c r="J1515" s="69"/>
      <c r="K1515" s="69"/>
      <c r="L1515" s="69"/>
      <c r="M1515" s="69"/>
      <c r="N1515" s="69"/>
      <c r="O1515" s="69"/>
      <c r="P1515" s="69"/>
      <c r="Q1515" s="69"/>
      <c r="R1515" s="69"/>
      <c r="S1515" s="69"/>
      <c r="T1515" s="69"/>
      <c r="U1515" s="69"/>
      <c r="V1515" s="69"/>
      <c r="W1515" s="69"/>
    </row>
    <row r="1516" spans="7:23" x14ac:dyDescent="0.3">
      <c r="G1516" s="69"/>
      <c r="H1516" s="69"/>
      <c r="I1516" s="69"/>
      <c r="J1516" s="69"/>
      <c r="K1516" s="69"/>
      <c r="L1516" s="69"/>
      <c r="M1516" s="69"/>
      <c r="N1516" s="69"/>
      <c r="O1516" s="69"/>
      <c r="P1516" s="69"/>
      <c r="Q1516" s="69"/>
      <c r="R1516" s="69"/>
      <c r="S1516" s="69"/>
      <c r="T1516" s="69"/>
      <c r="U1516" s="69"/>
      <c r="V1516" s="69"/>
      <c r="W1516" s="69"/>
    </row>
    <row r="1517" spans="7:23" x14ac:dyDescent="0.3">
      <c r="G1517" s="69"/>
      <c r="H1517" s="69"/>
      <c r="I1517" s="69"/>
      <c r="J1517" s="69"/>
      <c r="K1517" s="69"/>
      <c r="L1517" s="69"/>
      <c r="M1517" s="69"/>
      <c r="N1517" s="69"/>
      <c r="O1517" s="69"/>
      <c r="P1517" s="69"/>
      <c r="Q1517" s="69"/>
      <c r="R1517" s="69"/>
      <c r="S1517" s="69"/>
      <c r="T1517" s="69"/>
      <c r="U1517" s="69"/>
      <c r="V1517" s="69"/>
      <c r="W1517" s="69"/>
    </row>
    <row r="1518" spans="7:23" x14ac:dyDescent="0.3">
      <c r="G1518" s="69"/>
      <c r="H1518" s="69"/>
      <c r="I1518" s="69"/>
      <c r="J1518" s="69"/>
      <c r="K1518" s="69"/>
      <c r="L1518" s="69"/>
      <c r="M1518" s="69"/>
      <c r="N1518" s="69"/>
      <c r="O1518" s="69"/>
      <c r="P1518" s="69"/>
      <c r="Q1518" s="69"/>
      <c r="R1518" s="69"/>
      <c r="S1518" s="69"/>
      <c r="T1518" s="69"/>
      <c r="U1518" s="69"/>
      <c r="V1518" s="69"/>
      <c r="W1518" s="69"/>
    </row>
    <row r="1519" spans="7:23" x14ac:dyDescent="0.3">
      <c r="G1519" s="69"/>
      <c r="H1519" s="69"/>
      <c r="I1519" s="69"/>
      <c r="J1519" s="69"/>
      <c r="K1519" s="69"/>
      <c r="L1519" s="69"/>
      <c r="M1519" s="69"/>
      <c r="N1519" s="69"/>
      <c r="O1519" s="69"/>
      <c r="P1519" s="69"/>
      <c r="Q1519" s="69"/>
      <c r="R1519" s="69"/>
      <c r="S1519" s="69"/>
      <c r="T1519" s="69"/>
      <c r="U1519" s="69"/>
      <c r="V1519" s="69"/>
      <c r="W1519" s="69"/>
    </row>
    <row r="1520" spans="7:23" x14ac:dyDescent="0.3">
      <c r="G1520" s="69"/>
      <c r="H1520" s="69"/>
      <c r="I1520" s="69"/>
      <c r="J1520" s="69"/>
      <c r="K1520" s="69"/>
      <c r="L1520" s="69"/>
      <c r="M1520" s="69"/>
      <c r="N1520" s="69"/>
      <c r="O1520" s="69"/>
      <c r="P1520" s="69"/>
      <c r="Q1520" s="69"/>
      <c r="R1520" s="69"/>
      <c r="S1520" s="69"/>
      <c r="T1520" s="69"/>
      <c r="U1520" s="69"/>
      <c r="V1520" s="69"/>
      <c r="W1520" s="69"/>
    </row>
    <row r="1521" spans="7:23" x14ac:dyDescent="0.3">
      <c r="G1521" s="69"/>
      <c r="H1521" s="69"/>
      <c r="I1521" s="69"/>
      <c r="J1521" s="69"/>
      <c r="K1521" s="69"/>
      <c r="L1521" s="69"/>
      <c r="M1521" s="69"/>
      <c r="N1521" s="69"/>
      <c r="O1521" s="69"/>
      <c r="P1521" s="69"/>
      <c r="Q1521" s="69"/>
      <c r="R1521" s="69"/>
      <c r="S1521" s="69"/>
      <c r="T1521" s="69"/>
      <c r="U1521" s="69"/>
      <c r="V1521" s="69"/>
      <c r="W1521" s="69"/>
    </row>
    <row r="1522" spans="7:23" x14ac:dyDescent="0.3">
      <c r="G1522" s="69"/>
      <c r="H1522" s="69"/>
      <c r="I1522" s="69"/>
      <c r="J1522" s="69"/>
      <c r="K1522" s="69"/>
      <c r="L1522" s="69"/>
      <c r="M1522" s="69"/>
      <c r="N1522" s="69"/>
      <c r="O1522" s="69"/>
      <c r="P1522" s="69"/>
      <c r="Q1522" s="69"/>
      <c r="R1522" s="69"/>
      <c r="S1522" s="69"/>
      <c r="T1522" s="69"/>
      <c r="U1522" s="69"/>
      <c r="V1522" s="69"/>
      <c r="W1522" s="69"/>
    </row>
    <row r="1523" spans="7:23" x14ac:dyDescent="0.3">
      <c r="G1523" s="69"/>
      <c r="H1523" s="69"/>
      <c r="I1523" s="69"/>
      <c r="J1523" s="69"/>
      <c r="K1523" s="69"/>
      <c r="L1523" s="69"/>
      <c r="M1523" s="69"/>
      <c r="N1523" s="69"/>
      <c r="O1523" s="69"/>
      <c r="P1523" s="69"/>
      <c r="Q1523" s="69"/>
      <c r="R1523" s="69"/>
      <c r="S1523" s="69"/>
      <c r="T1523" s="69"/>
      <c r="U1523" s="69"/>
      <c r="V1523" s="69"/>
      <c r="W1523" s="69"/>
    </row>
    <row r="1524" spans="7:23" x14ac:dyDescent="0.3">
      <c r="G1524" s="69"/>
      <c r="H1524" s="69"/>
      <c r="I1524" s="69"/>
      <c r="J1524" s="69"/>
      <c r="K1524" s="69"/>
      <c r="L1524" s="69"/>
      <c r="M1524" s="69"/>
      <c r="N1524" s="69"/>
      <c r="O1524" s="69"/>
      <c r="P1524" s="69"/>
      <c r="Q1524" s="69"/>
      <c r="R1524" s="69"/>
      <c r="S1524" s="69"/>
      <c r="T1524" s="69"/>
      <c r="U1524" s="69"/>
      <c r="V1524" s="69"/>
      <c r="W1524" s="69"/>
    </row>
    <row r="1525" spans="7:23" x14ac:dyDescent="0.3">
      <c r="G1525" s="69"/>
      <c r="H1525" s="69"/>
      <c r="I1525" s="69"/>
      <c r="J1525" s="69"/>
      <c r="K1525" s="69"/>
      <c r="L1525" s="69"/>
      <c r="M1525" s="69"/>
      <c r="N1525" s="69"/>
      <c r="O1525" s="69"/>
      <c r="P1525" s="69"/>
      <c r="Q1525" s="69"/>
      <c r="R1525" s="69"/>
      <c r="S1525" s="69"/>
      <c r="T1525" s="69"/>
      <c r="U1525" s="69"/>
      <c r="V1525" s="69"/>
      <c r="W1525" s="69"/>
    </row>
    <row r="1526" spans="7:23" x14ac:dyDescent="0.3">
      <c r="G1526" s="69"/>
      <c r="H1526" s="69"/>
      <c r="I1526" s="69"/>
      <c r="J1526" s="69"/>
      <c r="K1526" s="69"/>
      <c r="L1526" s="69"/>
      <c r="M1526" s="69"/>
      <c r="N1526" s="69"/>
      <c r="O1526" s="69"/>
      <c r="P1526" s="69"/>
      <c r="Q1526" s="69"/>
      <c r="R1526" s="69"/>
      <c r="S1526" s="69"/>
      <c r="T1526" s="69"/>
      <c r="U1526" s="69"/>
      <c r="V1526" s="69"/>
      <c r="W1526" s="69"/>
    </row>
    <row r="1527" spans="7:23" x14ac:dyDescent="0.3">
      <c r="G1527" s="69"/>
      <c r="H1527" s="69"/>
      <c r="I1527" s="69"/>
      <c r="J1527" s="69"/>
      <c r="K1527" s="69"/>
      <c r="L1527" s="69"/>
      <c r="M1527" s="69"/>
      <c r="N1527" s="69"/>
      <c r="O1527" s="69"/>
      <c r="P1527" s="69"/>
      <c r="Q1527" s="69"/>
      <c r="R1527" s="69"/>
      <c r="S1527" s="69"/>
      <c r="T1527" s="69"/>
      <c r="U1527" s="69"/>
      <c r="V1527" s="69"/>
      <c r="W1527" s="69"/>
    </row>
    <row r="1528" spans="7:23" x14ac:dyDescent="0.3">
      <c r="G1528" s="69"/>
      <c r="H1528" s="69"/>
      <c r="I1528" s="69"/>
      <c r="J1528" s="69"/>
      <c r="K1528" s="69"/>
      <c r="L1528" s="69"/>
      <c r="M1528" s="69"/>
      <c r="N1528" s="69"/>
      <c r="O1528" s="69"/>
      <c r="P1528" s="69"/>
      <c r="Q1528" s="69"/>
      <c r="R1528" s="69"/>
      <c r="S1528" s="69"/>
      <c r="T1528" s="69"/>
      <c r="U1528" s="69"/>
      <c r="V1528" s="69"/>
      <c r="W1528" s="69"/>
    </row>
    <row r="1529" spans="7:23" x14ac:dyDescent="0.3">
      <c r="G1529" s="69"/>
      <c r="H1529" s="69"/>
      <c r="I1529" s="69"/>
      <c r="J1529" s="69"/>
      <c r="K1529" s="69"/>
      <c r="L1529" s="69"/>
      <c r="M1529" s="69"/>
      <c r="N1529" s="69"/>
      <c r="O1529" s="69"/>
      <c r="P1529" s="69"/>
      <c r="Q1529" s="69"/>
      <c r="R1529" s="69"/>
      <c r="S1529" s="69"/>
      <c r="T1529" s="69"/>
      <c r="U1529" s="69"/>
      <c r="V1529" s="69"/>
      <c r="W1529" s="69"/>
    </row>
    <row r="1530" spans="7:23" x14ac:dyDescent="0.3">
      <c r="G1530" s="69"/>
      <c r="H1530" s="69"/>
      <c r="I1530" s="69"/>
      <c r="J1530" s="69"/>
      <c r="K1530" s="69"/>
      <c r="L1530" s="69"/>
      <c r="M1530" s="69"/>
      <c r="N1530" s="69"/>
      <c r="O1530" s="69"/>
      <c r="P1530" s="69"/>
      <c r="Q1530" s="69"/>
      <c r="R1530" s="69"/>
      <c r="S1530" s="69"/>
      <c r="T1530" s="69"/>
      <c r="U1530" s="69"/>
      <c r="V1530" s="69"/>
      <c r="W1530" s="69"/>
    </row>
    <row r="1531" spans="7:23" x14ac:dyDescent="0.3">
      <c r="G1531" s="69"/>
      <c r="H1531" s="69"/>
      <c r="I1531" s="69"/>
      <c r="J1531" s="69"/>
      <c r="K1531" s="69"/>
      <c r="L1531" s="69"/>
      <c r="M1531" s="69"/>
      <c r="N1531" s="69"/>
      <c r="O1531" s="69"/>
      <c r="P1531" s="69"/>
      <c r="Q1531" s="69"/>
      <c r="R1531" s="69"/>
      <c r="S1531" s="69"/>
      <c r="T1531" s="69"/>
      <c r="U1531" s="69"/>
      <c r="V1531" s="69"/>
      <c r="W1531" s="69"/>
    </row>
    <row r="1532" spans="7:23" x14ac:dyDescent="0.3">
      <c r="G1532" s="69"/>
      <c r="H1532" s="69"/>
      <c r="I1532" s="69"/>
      <c r="J1532" s="69"/>
      <c r="K1532" s="69"/>
      <c r="L1532" s="69"/>
      <c r="M1532" s="69"/>
      <c r="N1532" s="69"/>
      <c r="O1532" s="69"/>
      <c r="P1532" s="69"/>
      <c r="Q1532" s="69"/>
      <c r="R1532" s="69"/>
      <c r="S1532" s="69"/>
      <c r="T1532" s="69"/>
      <c r="U1532" s="69"/>
      <c r="V1532" s="69"/>
      <c r="W1532" s="69"/>
    </row>
    <row r="1533" spans="7:23" x14ac:dyDescent="0.3">
      <c r="G1533" s="69"/>
      <c r="H1533" s="69"/>
      <c r="I1533" s="69"/>
      <c r="J1533" s="69"/>
      <c r="K1533" s="69"/>
      <c r="L1533" s="69"/>
      <c r="M1533" s="69"/>
      <c r="N1533" s="69"/>
      <c r="O1533" s="69"/>
      <c r="P1533" s="69"/>
      <c r="Q1533" s="69"/>
      <c r="R1533" s="69"/>
      <c r="S1533" s="69"/>
      <c r="T1533" s="69"/>
      <c r="U1533" s="69"/>
      <c r="V1533" s="69"/>
      <c r="W1533" s="69"/>
    </row>
    <row r="1534" spans="7:23" x14ac:dyDescent="0.3">
      <c r="G1534" s="69"/>
      <c r="H1534" s="69"/>
      <c r="I1534" s="69"/>
      <c r="J1534" s="69"/>
      <c r="K1534" s="69"/>
      <c r="L1534" s="69"/>
      <c r="M1534" s="69"/>
      <c r="N1534" s="69"/>
      <c r="O1534" s="69"/>
      <c r="P1534" s="69"/>
      <c r="Q1534" s="69"/>
      <c r="R1534" s="69"/>
      <c r="S1534" s="69"/>
      <c r="T1534" s="69"/>
      <c r="U1534" s="69"/>
      <c r="V1534" s="69"/>
      <c r="W1534" s="69"/>
    </row>
    <row r="1535" spans="7:23" x14ac:dyDescent="0.3">
      <c r="G1535" s="69"/>
      <c r="H1535" s="69"/>
      <c r="I1535" s="69"/>
      <c r="J1535" s="69"/>
      <c r="K1535" s="69"/>
      <c r="L1535" s="69"/>
      <c r="M1535" s="69"/>
      <c r="N1535" s="69"/>
      <c r="O1535" s="69"/>
      <c r="P1535" s="69"/>
      <c r="Q1535" s="69"/>
      <c r="R1535" s="69"/>
      <c r="S1535" s="69"/>
      <c r="T1535" s="69"/>
      <c r="U1535" s="69"/>
      <c r="V1535" s="69"/>
      <c r="W1535" s="69"/>
    </row>
    <row r="1536" spans="7:23" x14ac:dyDescent="0.3">
      <c r="G1536" s="69"/>
      <c r="H1536" s="69"/>
      <c r="I1536" s="69"/>
      <c r="J1536" s="69"/>
      <c r="K1536" s="69"/>
      <c r="L1536" s="69"/>
      <c r="M1536" s="69"/>
      <c r="N1536" s="69"/>
      <c r="O1536" s="69"/>
      <c r="P1536" s="69"/>
      <c r="Q1536" s="69"/>
      <c r="R1536" s="69"/>
      <c r="S1536" s="69"/>
      <c r="T1536" s="69"/>
      <c r="U1536" s="69"/>
      <c r="V1536" s="69"/>
      <c r="W1536" s="69"/>
    </row>
    <row r="1537" spans="1:23" x14ac:dyDescent="0.3">
      <c r="G1537" s="69"/>
      <c r="H1537" s="69"/>
      <c r="I1537" s="69"/>
      <c r="J1537" s="69"/>
      <c r="K1537" s="69"/>
      <c r="L1537" s="69"/>
      <c r="M1537" s="69"/>
      <c r="N1537" s="69"/>
      <c r="O1537" s="69"/>
      <c r="P1537" s="69"/>
      <c r="Q1537" s="69"/>
      <c r="R1537" s="69"/>
      <c r="S1537" s="69"/>
      <c r="T1537" s="69"/>
      <c r="U1537" s="69"/>
      <c r="V1537" s="69"/>
      <c r="W1537" s="69"/>
    </row>
    <row r="1538" spans="1:23" x14ac:dyDescent="0.3">
      <c r="G1538" s="69"/>
      <c r="H1538" s="69"/>
      <c r="I1538" s="69"/>
      <c r="J1538" s="69"/>
      <c r="K1538" s="69"/>
      <c r="L1538" s="69"/>
      <c r="M1538" s="69"/>
      <c r="N1538" s="69"/>
      <c r="O1538" s="69"/>
      <c r="P1538" s="69"/>
      <c r="Q1538" s="69"/>
      <c r="R1538" s="69"/>
      <c r="S1538" s="69"/>
      <c r="T1538" s="69"/>
      <c r="U1538" s="69"/>
      <c r="V1538" s="69"/>
      <c r="W1538" s="69"/>
    </row>
    <row r="1539" spans="1:23" x14ac:dyDescent="0.3">
      <c r="G1539" s="69"/>
      <c r="H1539" s="69"/>
      <c r="I1539" s="69"/>
      <c r="J1539" s="69"/>
      <c r="K1539" s="69"/>
      <c r="L1539" s="69"/>
      <c r="M1539" s="69"/>
      <c r="N1539" s="69"/>
      <c r="O1539" s="69"/>
      <c r="P1539" s="69"/>
      <c r="Q1539" s="69"/>
      <c r="R1539" s="69"/>
      <c r="S1539" s="69"/>
      <c r="T1539" s="69"/>
      <c r="U1539" s="69"/>
      <c r="V1539" s="69"/>
      <c r="W1539" s="69"/>
    </row>
    <row r="1540" spans="1:23" ht="21" x14ac:dyDescent="0.4">
      <c r="A1540" s="48"/>
      <c r="G1540" s="69"/>
      <c r="H1540" s="69"/>
      <c r="I1540" s="69"/>
      <c r="J1540" s="69"/>
      <c r="K1540" s="69"/>
      <c r="L1540" s="69"/>
      <c r="M1540" s="69"/>
      <c r="N1540" s="69"/>
      <c r="O1540" s="69"/>
      <c r="P1540" s="69"/>
      <c r="Q1540" s="69"/>
      <c r="R1540" s="69"/>
      <c r="S1540" s="69"/>
      <c r="T1540" s="69"/>
      <c r="U1540" s="69"/>
      <c r="V1540" s="69"/>
      <c r="W1540" s="69"/>
    </row>
    <row r="1541" spans="1:23" x14ac:dyDescent="0.3">
      <c r="G1541" s="69"/>
      <c r="H1541" s="69"/>
      <c r="I1541" s="69"/>
      <c r="J1541" s="69"/>
      <c r="K1541" s="69"/>
      <c r="L1541" s="69"/>
      <c r="M1541" s="69"/>
      <c r="N1541" s="69"/>
      <c r="O1541" s="69"/>
      <c r="P1541" s="69"/>
      <c r="Q1541" s="69"/>
      <c r="R1541" s="69"/>
      <c r="S1541" s="69"/>
      <c r="T1541" s="69"/>
      <c r="U1541" s="69"/>
      <c r="V1541" s="69"/>
      <c r="W1541" s="69"/>
    </row>
    <row r="1542" spans="1:23" x14ac:dyDescent="0.3">
      <c r="G1542" s="69"/>
      <c r="H1542" s="69"/>
      <c r="I1542" s="69"/>
      <c r="J1542" s="69"/>
      <c r="K1542" s="69"/>
      <c r="L1542" s="69"/>
      <c r="M1542" s="69"/>
      <c r="N1542" s="69"/>
      <c r="O1542" s="69"/>
      <c r="P1542" s="69"/>
      <c r="Q1542" s="69"/>
      <c r="R1542" s="69"/>
      <c r="S1542" s="69"/>
      <c r="T1542" s="69"/>
      <c r="U1542" s="69"/>
      <c r="V1542" s="69"/>
      <c r="W1542" s="69"/>
    </row>
    <row r="1543" spans="1:23" x14ac:dyDescent="0.3">
      <c r="G1543" s="69"/>
      <c r="H1543" s="69"/>
      <c r="I1543" s="69"/>
      <c r="J1543" s="69"/>
      <c r="K1543" s="69"/>
      <c r="L1543" s="69"/>
      <c r="M1543" s="69"/>
      <c r="N1543" s="69"/>
      <c r="O1543" s="69"/>
      <c r="P1543" s="69"/>
      <c r="Q1543" s="69"/>
      <c r="R1543" s="69"/>
      <c r="S1543" s="69"/>
      <c r="T1543" s="69"/>
      <c r="U1543" s="69"/>
      <c r="V1543" s="69"/>
      <c r="W1543" s="69"/>
    </row>
    <row r="1544" spans="1:23" x14ac:dyDescent="0.3">
      <c r="G1544" s="69"/>
      <c r="H1544" s="69"/>
      <c r="I1544" s="69"/>
      <c r="J1544" s="69"/>
      <c r="K1544" s="69"/>
      <c r="L1544" s="69"/>
      <c r="M1544" s="69"/>
      <c r="N1544" s="69"/>
      <c r="O1544" s="69"/>
      <c r="P1544" s="69"/>
      <c r="Q1544" s="69"/>
      <c r="R1544" s="69"/>
      <c r="S1544" s="69"/>
      <c r="T1544" s="69"/>
      <c r="U1544" s="69"/>
      <c r="V1544" s="69"/>
      <c r="W1544" s="69"/>
    </row>
    <row r="1545" spans="1:23" x14ac:dyDescent="0.3">
      <c r="G1545" s="69"/>
      <c r="H1545" s="69"/>
      <c r="I1545" s="69"/>
      <c r="J1545" s="69"/>
      <c r="K1545" s="69"/>
      <c r="L1545" s="69"/>
      <c r="M1545" s="69"/>
      <c r="N1545" s="69"/>
      <c r="O1545" s="69"/>
      <c r="P1545" s="69"/>
      <c r="Q1545" s="69"/>
      <c r="R1545" s="69"/>
      <c r="S1545" s="69"/>
      <c r="T1545" s="69"/>
      <c r="U1545" s="69"/>
      <c r="V1545" s="69"/>
      <c r="W1545" s="69"/>
    </row>
    <row r="1546" spans="1:23" x14ac:dyDescent="0.3">
      <c r="G1546" s="69"/>
      <c r="H1546" s="69"/>
      <c r="I1546" s="69"/>
      <c r="J1546" s="69"/>
      <c r="K1546" s="69"/>
      <c r="L1546" s="69"/>
      <c r="M1546" s="69"/>
      <c r="N1546" s="69"/>
      <c r="O1546" s="69"/>
      <c r="P1546" s="69"/>
      <c r="Q1546" s="69"/>
      <c r="R1546" s="69"/>
      <c r="S1546" s="69"/>
      <c r="T1546" s="69"/>
      <c r="U1546" s="69"/>
      <c r="V1546" s="69"/>
      <c r="W1546" s="69"/>
    </row>
    <row r="1547" spans="1:23" x14ac:dyDescent="0.3">
      <c r="G1547" s="69"/>
      <c r="H1547" s="69"/>
      <c r="I1547" s="69"/>
      <c r="J1547" s="69"/>
      <c r="K1547" s="69"/>
      <c r="L1547" s="69"/>
      <c r="M1547" s="69"/>
      <c r="N1547" s="69"/>
      <c r="O1547" s="69"/>
      <c r="P1547" s="69"/>
      <c r="Q1547" s="69"/>
      <c r="R1547" s="69"/>
      <c r="S1547" s="69"/>
      <c r="T1547" s="69"/>
      <c r="U1547" s="69"/>
      <c r="V1547" s="69"/>
      <c r="W1547" s="69"/>
    </row>
    <row r="1548" spans="1:23" x14ac:dyDescent="0.3">
      <c r="G1548" s="69"/>
      <c r="H1548" s="69"/>
      <c r="I1548" s="69"/>
      <c r="J1548" s="69"/>
      <c r="K1548" s="69"/>
      <c r="L1548" s="69"/>
      <c r="M1548" s="69"/>
      <c r="N1548" s="69"/>
      <c r="O1548" s="69"/>
      <c r="P1548" s="69"/>
      <c r="Q1548" s="69"/>
      <c r="R1548" s="69"/>
      <c r="S1548" s="69"/>
      <c r="T1548" s="69"/>
      <c r="U1548" s="69"/>
      <c r="V1548" s="69"/>
      <c r="W1548" s="69"/>
    </row>
    <row r="1549" spans="1:23" x14ac:dyDescent="0.3">
      <c r="G1549" s="69"/>
      <c r="H1549" s="69"/>
      <c r="I1549" s="69"/>
      <c r="J1549" s="69"/>
      <c r="K1549" s="69"/>
      <c r="L1549" s="69"/>
      <c r="M1549" s="69"/>
      <c r="N1549" s="69"/>
      <c r="O1549" s="69"/>
      <c r="P1549" s="69"/>
      <c r="Q1549" s="69"/>
      <c r="R1549" s="69"/>
      <c r="S1549" s="69"/>
      <c r="T1549" s="69"/>
      <c r="U1549" s="69"/>
      <c r="V1549" s="69"/>
      <c r="W1549" s="69"/>
    </row>
    <row r="1550" spans="1:23" x14ac:dyDescent="0.3">
      <c r="G1550" s="69"/>
      <c r="H1550" s="69"/>
      <c r="I1550" s="69"/>
      <c r="J1550" s="69"/>
      <c r="K1550" s="69"/>
      <c r="L1550" s="69"/>
      <c r="M1550" s="69"/>
      <c r="N1550" s="69"/>
      <c r="O1550" s="69"/>
      <c r="P1550" s="69"/>
      <c r="Q1550" s="69"/>
      <c r="R1550" s="69"/>
      <c r="S1550" s="69"/>
      <c r="T1550" s="69"/>
      <c r="U1550" s="69"/>
      <c r="V1550" s="69"/>
      <c r="W1550" s="69"/>
    </row>
    <row r="1551" spans="1:23" x14ac:dyDescent="0.3">
      <c r="G1551" s="69"/>
      <c r="H1551" s="69"/>
      <c r="I1551" s="69"/>
      <c r="J1551" s="69"/>
      <c r="K1551" s="69"/>
      <c r="L1551" s="69"/>
      <c r="M1551" s="69"/>
      <c r="N1551" s="69"/>
      <c r="O1551" s="69"/>
      <c r="P1551" s="69"/>
      <c r="Q1551" s="69"/>
      <c r="R1551" s="69"/>
      <c r="S1551" s="69"/>
      <c r="T1551" s="69"/>
      <c r="U1551" s="69"/>
      <c r="V1551" s="69"/>
      <c r="W1551" s="69"/>
    </row>
    <row r="1552" spans="1:23" x14ac:dyDescent="0.3">
      <c r="G1552" s="69"/>
      <c r="H1552" s="69"/>
      <c r="I1552" s="69"/>
      <c r="J1552" s="69"/>
      <c r="K1552" s="69"/>
      <c r="L1552" s="69"/>
      <c r="M1552" s="69"/>
      <c r="N1552" s="69"/>
      <c r="O1552" s="69"/>
      <c r="P1552" s="69"/>
      <c r="Q1552" s="69"/>
      <c r="R1552" s="69"/>
      <c r="S1552" s="69"/>
      <c r="T1552" s="69"/>
      <c r="U1552" s="69"/>
      <c r="V1552" s="69"/>
      <c r="W1552" s="69"/>
    </row>
    <row r="1553" spans="7:23" x14ac:dyDescent="0.3">
      <c r="G1553" s="69"/>
      <c r="H1553" s="69"/>
      <c r="I1553" s="69"/>
      <c r="J1553" s="69"/>
      <c r="K1553" s="69"/>
      <c r="L1553" s="69"/>
      <c r="M1553" s="69"/>
      <c r="N1553" s="69"/>
      <c r="O1553" s="69"/>
      <c r="P1553" s="69"/>
      <c r="Q1553" s="69"/>
      <c r="R1553" s="69"/>
      <c r="S1553" s="69"/>
      <c r="T1553" s="69"/>
      <c r="U1553" s="69"/>
      <c r="V1553" s="69"/>
      <c r="W1553" s="69"/>
    </row>
    <row r="1554" spans="7:23" x14ac:dyDescent="0.3">
      <c r="G1554" s="69"/>
      <c r="H1554" s="69"/>
      <c r="I1554" s="69"/>
      <c r="J1554" s="69"/>
      <c r="K1554" s="69"/>
      <c r="L1554" s="69"/>
      <c r="M1554" s="69"/>
      <c r="N1554" s="69"/>
      <c r="O1554" s="69"/>
      <c r="P1554" s="69"/>
      <c r="Q1554" s="69"/>
      <c r="R1554" s="69"/>
      <c r="S1554" s="69"/>
      <c r="T1554" s="69"/>
      <c r="U1554" s="69"/>
      <c r="V1554" s="69"/>
      <c r="W1554" s="69"/>
    </row>
    <row r="1555" spans="7:23" x14ac:dyDescent="0.3">
      <c r="G1555" s="69"/>
      <c r="H1555" s="69"/>
      <c r="I1555" s="69"/>
      <c r="J1555" s="69"/>
      <c r="K1555" s="69"/>
      <c r="L1555" s="69"/>
      <c r="M1555" s="69"/>
      <c r="N1555" s="69"/>
      <c r="O1555" s="69"/>
      <c r="P1555" s="69"/>
      <c r="Q1555" s="69"/>
      <c r="R1555" s="69"/>
      <c r="S1555" s="69"/>
      <c r="T1555" s="69"/>
      <c r="U1555" s="69"/>
      <c r="V1555" s="69"/>
      <c r="W1555" s="69"/>
    </row>
    <row r="1556" spans="7:23" x14ac:dyDescent="0.3">
      <c r="G1556" s="69"/>
      <c r="H1556" s="69"/>
      <c r="I1556" s="69"/>
      <c r="J1556" s="69"/>
      <c r="K1556" s="69"/>
      <c r="L1556" s="69"/>
      <c r="M1556" s="69"/>
      <c r="N1556" s="69"/>
      <c r="O1556" s="69"/>
      <c r="P1556" s="69"/>
      <c r="Q1556" s="69"/>
      <c r="R1556" s="69"/>
      <c r="S1556" s="69"/>
      <c r="T1556" s="69"/>
      <c r="U1556" s="69"/>
      <c r="V1556" s="69"/>
      <c r="W1556" s="69"/>
    </row>
    <row r="1557" spans="7:23" x14ac:dyDescent="0.3">
      <c r="G1557" s="69"/>
      <c r="H1557" s="69"/>
      <c r="I1557" s="69"/>
      <c r="J1557" s="69"/>
      <c r="K1557" s="69"/>
      <c r="L1557" s="69"/>
      <c r="M1557" s="69"/>
      <c r="N1557" s="69"/>
      <c r="O1557" s="69"/>
      <c r="P1557" s="69"/>
      <c r="Q1557" s="69"/>
      <c r="R1557" s="69"/>
      <c r="S1557" s="69"/>
      <c r="T1557" s="69"/>
      <c r="U1557" s="69"/>
      <c r="V1557" s="69"/>
      <c r="W1557" s="69"/>
    </row>
    <row r="1558" spans="7:23" x14ac:dyDescent="0.3">
      <c r="G1558" s="69"/>
      <c r="H1558" s="69"/>
      <c r="I1558" s="69"/>
      <c r="J1558" s="69"/>
      <c r="K1558" s="69"/>
      <c r="L1558" s="69"/>
      <c r="M1558" s="69"/>
      <c r="N1558" s="69"/>
      <c r="O1558" s="69"/>
      <c r="P1558" s="69"/>
      <c r="Q1558" s="69"/>
      <c r="R1558" s="69"/>
      <c r="S1558" s="69"/>
      <c r="T1558" s="69"/>
      <c r="U1558" s="69"/>
      <c r="V1558" s="69"/>
      <c r="W1558" s="69"/>
    </row>
    <row r="1559" spans="7:23" x14ac:dyDescent="0.3">
      <c r="G1559" s="69"/>
      <c r="H1559" s="69"/>
      <c r="I1559" s="69"/>
      <c r="J1559" s="69"/>
      <c r="K1559" s="69"/>
      <c r="L1559" s="69"/>
      <c r="M1559" s="69"/>
      <c r="N1559" s="69"/>
      <c r="O1559" s="69"/>
      <c r="P1559" s="69"/>
      <c r="Q1559" s="69"/>
      <c r="R1559" s="69"/>
      <c r="S1559" s="69"/>
      <c r="T1559" s="69"/>
      <c r="U1559" s="69"/>
      <c r="V1559" s="69"/>
      <c r="W1559" s="69"/>
    </row>
    <row r="1560" spans="7:23" x14ac:dyDescent="0.3">
      <c r="G1560" s="69"/>
      <c r="H1560" s="69"/>
      <c r="I1560" s="69"/>
      <c r="J1560" s="69"/>
      <c r="K1560" s="69"/>
      <c r="L1560" s="69"/>
      <c r="M1560" s="69"/>
      <c r="N1560" s="69"/>
      <c r="O1560" s="69"/>
      <c r="P1560" s="69"/>
      <c r="Q1560" s="69"/>
      <c r="R1560" s="69"/>
      <c r="S1560" s="69"/>
      <c r="T1560" s="69"/>
      <c r="U1560" s="69"/>
      <c r="V1560" s="69"/>
      <c r="W1560" s="69"/>
    </row>
    <row r="1561" spans="7:23" x14ac:dyDescent="0.3">
      <c r="G1561" s="69"/>
      <c r="H1561" s="69"/>
      <c r="I1561" s="69"/>
      <c r="J1561" s="69"/>
      <c r="K1561" s="69"/>
      <c r="L1561" s="69"/>
      <c r="M1561" s="69"/>
      <c r="N1561" s="69"/>
      <c r="O1561" s="69"/>
      <c r="P1561" s="69"/>
      <c r="Q1561" s="69"/>
      <c r="R1561" s="69"/>
      <c r="S1561" s="69"/>
      <c r="T1561" s="69"/>
      <c r="U1561" s="69"/>
      <c r="V1561" s="69"/>
      <c r="W1561" s="69"/>
    </row>
    <row r="1562" spans="7:23" x14ac:dyDescent="0.3">
      <c r="G1562" s="69"/>
      <c r="H1562" s="69"/>
      <c r="I1562" s="69"/>
      <c r="J1562" s="69"/>
      <c r="K1562" s="69"/>
      <c r="L1562" s="69"/>
      <c r="M1562" s="69"/>
      <c r="N1562" s="69"/>
      <c r="O1562" s="69"/>
      <c r="P1562" s="69"/>
      <c r="Q1562" s="69"/>
      <c r="R1562" s="69"/>
      <c r="S1562" s="69"/>
      <c r="T1562" s="69"/>
      <c r="U1562" s="69"/>
      <c r="V1562" s="69"/>
      <c r="W1562" s="69"/>
    </row>
    <row r="1563" spans="7:23" x14ac:dyDescent="0.3">
      <c r="G1563" s="69"/>
      <c r="H1563" s="69"/>
      <c r="I1563" s="69"/>
      <c r="J1563" s="69"/>
      <c r="K1563" s="69"/>
      <c r="L1563" s="69"/>
      <c r="M1563" s="69"/>
      <c r="N1563" s="69"/>
      <c r="O1563" s="69"/>
      <c r="P1563" s="69"/>
      <c r="Q1563" s="69"/>
      <c r="R1563" s="69"/>
      <c r="S1563" s="69"/>
      <c r="T1563" s="69"/>
      <c r="U1563" s="69"/>
      <c r="V1563" s="69"/>
      <c r="W1563" s="69"/>
    </row>
    <row r="1564" spans="7:23" x14ac:dyDescent="0.3">
      <c r="G1564" s="69"/>
      <c r="H1564" s="69"/>
      <c r="I1564" s="69"/>
      <c r="J1564" s="69"/>
      <c r="K1564" s="69"/>
      <c r="L1564" s="69"/>
      <c r="M1564" s="69"/>
      <c r="N1564" s="69"/>
      <c r="O1564" s="69"/>
      <c r="P1564" s="69"/>
      <c r="Q1564" s="69"/>
      <c r="R1564" s="69"/>
      <c r="S1564" s="69"/>
      <c r="T1564" s="69"/>
      <c r="U1564" s="69"/>
      <c r="V1564" s="69"/>
      <c r="W1564" s="69"/>
    </row>
    <row r="1565" spans="7:23" x14ac:dyDescent="0.3">
      <c r="G1565" s="69"/>
      <c r="H1565" s="69"/>
      <c r="I1565" s="69"/>
      <c r="J1565" s="69"/>
      <c r="K1565" s="69"/>
      <c r="L1565" s="69"/>
      <c r="M1565" s="69"/>
      <c r="N1565" s="69"/>
      <c r="O1565" s="69"/>
      <c r="P1565" s="69"/>
      <c r="Q1565" s="69"/>
      <c r="R1565" s="69"/>
      <c r="S1565" s="69"/>
      <c r="T1565" s="69"/>
      <c r="U1565" s="69"/>
      <c r="V1565" s="69"/>
      <c r="W1565" s="69"/>
    </row>
    <row r="1566" spans="7:23" x14ac:dyDescent="0.3">
      <c r="G1566" s="69"/>
      <c r="H1566" s="69"/>
      <c r="I1566" s="69"/>
      <c r="J1566" s="69"/>
      <c r="K1566" s="69"/>
      <c r="L1566" s="69"/>
      <c r="M1566" s="69"/>
      <c r="N1566" s="69"/>
      <c r="O1566" s="69"/>
      <c r="P1566" s="69"/>
      <c r="Q1566" s="69"/>
      <c r="R1566" s="69"/>
      <c r="S1566" s="69"/>
      <c r="T1566" s="69"/>
      <c r="U1566" s="69"/>
      <c r="V1566" s="69"/>
      <c r="W1566" s="69"/>
    </row>
    <row r="1567" spans="7:23" x14ac:dyDescent="0.3">
      <c r="G1567" s="69"/>
      <c r="H1567" s="69"/>
      <c r="I1567" s="69"/>
      <c r="J1567" s="69"/>
      <c r="K1567" s="69"/>
      <c r="L1567" s="69"/>
      <c r="M1567" s="69"/>
      <c r="N1567" s="69"/>
      <c r="O1567" s="69"/>
      <c r="P1567" s="69"/>
      <c r="Q1567" s="69"/>
      <c r="R1567" s="69"/>
      <c r="S1567" s="69"/>
      <c r="T1567" s="69"/>
      <c r="U1567" s="69"/>
      <c r="V1567" s="69"/>
      <c r="W1567" s="69"/>
    </row>
    <row r="1568" spans="7:23" x14ac:dyDescent="0.3">
      <c r="G1568" s="69"/>
      <c r="H1568" s="69"/>
      <c r="I1568" s="69"/>
      <c r="J1568" s="69"/>
      <c r="K1568" s="69"/>
      <c r="L1568" s="69"/>
      <c r="M1568" s="69"/>
      <c r="N1568" s="69"/>
      <c r="O1568" s="69"/>
      <c r="P1568" s="69"/>
      <c r="Q1568" s="69"/>
      <c r="R1568" s="69"/>
      <c r="S1568" s="69"/>
      <c r="T1568" s="69"/>
      <c r="U1568" s="69"/>
      <c r="V1568" s="69"/>
      <c r="W1568" s="69"/>
    </row>
    <row r="1569" spans="7:23" x14ac:dyDescent="0.3">
      <c r="G1569" s="69"/>
      <c r="H1569" s="69"/>
      <c r="I1569" s="69"/>
      <c r="J1569" s="69"/>
      <c r="K1569" s="69"/>
      <c r="L1569" s="69"/>
      <c r="M1569" s="69"/>
      <c r="N1569" s="69"/>
      <c r="O1569" s="69"/>
      <c r="P1569" s="69"/>
      <c r="Q1569" s="69"/>
      <c r="R1569" s="69"/>
      <c r="S1569" s="69"/>
      <c r="T1569" s="69"/>
      <c r="U1569" s="69"/>
      <c r="V1569" s="69"/>
      <c r="W1569" s="69"/>
    </row>
    <row r="1570" spans="7:23" x14ac:dyDescent="0.3">
      <c r="G1570" s="69"/>
      <c r="H1570" s="69"/>
      <c r="I1570" s="69"/>
      <c r="J1570" s="69"/>
      <c r="K1570" s="69"/>
      <c r="L1570" s="69"/>
      <c r="M1570" s="69"/>
      <c r="N1570" s="69"/>
      <c r="O1570" s="69"/>
      <c r="P1570" s="69"/>
      <c r="Q1570" s="69"/>
      <c r="R1570" s="69"/>
      <c r="S1570" s="69"/>
      <c r="T1570" s="69"/>
      <c r="U1570" s="69"/>
      <c r="V1570" s="69"/>
      <c r="W1570" s="69"/>
    </row>
    <row r="1571" spans="7:23" x14ac:dyDescent="0.3">
      <c r="G1571" s="69"/>
      <c r="H1571" s="69"/>
      <c r="I1571" s="69"/>
      <c r="J1571" s="69"/>
      <c r="K1571" s="69"/>
      <c r="L1571" s="69"/>
      <c r="M1571" s="69"/>
      <c r="N1571" s="69"/>
      <c r="O1571" s="69"/>
      <c r="P1571" s="69"/>
      <c r="Q1571" s="69"/>
      <c r="R1571" s="69"/>
      <c r="S1571" s="69"/>
      <c r="T1571" s="69"/>
      <c r="U1571" s="69"/>
      <c r="V1571" s="69"/>
      <c r="W1571" s="69"/>
    </row>
    <row r="1572" spans="7:23" x14ac:dyDescent="0.3">
      <c r="G1572" s="69"/>
      <c r="H1572" s="69"/>
      <c r="I1572" s="69"/>
      <c r="J1572" s="69"/>
      <c r="K1572" s="69"/>
      <c r="L1572" s="69"/>
      <c r="M1572" s="69"/>
      <c r="N1572" s="69"/>
      <c r="O1572" s="69"/>
      <c r="P1572" s="69"/>
      <c r="Q1572" s="69"/>
      <c r="R1572" s="69"/>
      <c r="S1572" s="69"/>
      <c r="T1572" s="69"/>
      <c r="U1572" s="69"/>
      <c r="V1572" s="69"/>
      <c r="W1572" s="69"/>
    </row>
    <row r="1573" spans="7:23" x14ac:dyDescent="0.3">
      <c r="G1573" s="69"/>
      <c r="H1573" s="69"/>
      <c r="I1573" s="69"/>
      <c r="J1573" s="69"/>
      <c r="K1573" s="69"/>
      <c r="L1573" s="69"/>
      <c r="M1573" s="69"/>
      <c r="N1573" s="69"/>
      <c r="O1573" s="69"/>
      <c r="P1573" s="69"/>
      <c r="Q1573" s="69"/>
      <c r="R1573" s="69"/>
      <c r="S1573" s="69"/>
      <c r="T1573" s="69"/>
      <c r="U1573" s="69"/>
      <c r="V1573" s="69"/>
      <c r="W1573" s="69"/>
    </row>
    <row r="1574" spans="7:23" x14ac:dyDescent="0.3">
      <c r="G1574" s="69"/>
      <c r="H1574" s="69"/>
      <c r="I1574" s="69"/>
      <c r="J1574" s="69"/>
      <c r="K1574" s="69"/>
      <c r="L1574" s="69"/>
      <c r="M1574" s="69"/>
      <c r="N1574" s="69"/>
      <c r="O1574" s="69"/>
      <c r="P1574" s="69"/>
      <c r="Q1574" s="69"/>
      <c r="R1574" s="69"/>
      <c r="S1574" s="69"/>
      <c r="T1574" s="69"/>
      <c r="U1574" s="69"/>
      <c r="V1574" s="69"/>
      <c r="W1574" s="69"/>
    </row>
    <row r="1575" spans="7:23" x14ac:dyDescent="0.3">
      <c r="G1575" s="69"/>
      <c r="H1575" s="69"/>
      <c r="I1575" s="69"/>
      <c r="J1575" s="69"/>
      <c r="K1575" s="69"/>
      <c r="L1575" s="69"/>
      <c r="M1575" s="69"/>
      <c r="N1575" s="69"/>
      <c r="O1575" s="69"/>
      <c r="P1575" s="69"/>
      <c r="Q1575" s="69"/>
      <c r="R1575" s="69"/>
      <c r="S1575" s="69"/>
      <c r="T1575" s="69"/>
      <c r="U1575" s="69"/>
      <c r="V1575" s="69"/>
      <c r="W1575" s="69"/>
    </row>
    <row r="1576" spans="7:23" x14ac:dyDescent="0.3">
      <c r="G1576" s="69"/>
      <c r="H1576" s="69"/>
      <c r="I1576" s="69"/>
      <c r="J1576" s="69"/>
      <c r="K1576" s="69"/>
      <c r="L1576" s="69"/>
      <c r="M1576" s="69"/>
      <c r="N1576" s="69"/>
      <c r="O1576" s="69"/>
      <c r="P1576" s="69"/>
      <c r="Q1576" s="69"/>
      <c r="R1576" s="69"/>
      <c r="S1576" s="69"/>
      <c r="T1576" s="69"/>
      <c r="U1576" s="69"/>
      <c r="V1576" s="69"/>
      <c r="W1576" s="69"/>
    </row>
    <row r="1577" spans="7:23" x14ac:dyDescent="0.3">
      <c r="G1577" s="69"/>
      <c r="H1577" s="69"/>
      <c r="I1577" s="69"/>
      <c r="J1577" s="69"/>
      <c r="K1577" s="69"/>
      <c r="L1577" s="69"/>
      <c r="M1577" s="69"/>
      <c r="N1577" s="69"/>
      <c r="O1577" s="69"/>
      <c r="P1577" s="69"/>
      <c r="Q1577" s="69"/>
      <c r="R1577" s="69"/>
      <c r="S1577" s="69"/>
      <c r="T1577" s="69"/>
      <c r="U1577" s="69"/>
      <c r="V1577" s="69"/>
      <c r="W1577" s="69"/>
    </row>
    <row r="1578" spans="7:23" x14ac:dyDescent="0.3">
      <c r="G1578" s="69"/>
      <c r="H1578" s="69"/>
      <c r="I1578" s="69"/>
      <c r="J1578" s="69"/>
      <c r="K1578" s="69"/>
      <c r="L1578" s="69"/>
      <c r="M1578" s="69"/>
      <c r="N1578" s="69"/>
      <c r="O1578" s="69"/>
      <c r="P1578" s="69"/>
      <c r="Q1578" s="69"/>
      <c r="R1578" s="69"/>
      <c r="S1578" s="69"/>
      <c r="T1578" s="69"/>
      <c r="U1578" s="69"/>
      <c r="V1578" s="69"/>
      <c r="W1578" s="69"/>
    </row>
    <row r="1579" spans="7:23" x14ac:dyDescent="0.3">
      <c r="G1579" s="69"/>
      <c r="H1579" s="69"/>
      <c r="I1579" s="69"/>
      <c r="J1579" s="69"/>
      <c r="K1579" s="69"/>
      <c r="L1579" s="69"/>
      <c r="M1579" s="69"/>
      <c r="N1579" s="69"/>
      <c r="O1579" s="69"/>
      <c r="P1579" s="69"/>
      <c r="Q1579" s="69"/>
      <c r="R1579" s="69"/>
      <c r="S1579" s="69"/>
      <c r="T1579" s="69"/>
      <c r="U1579" s="69"/>
      <c r="V1579" s="69"/>
      <c r="W1579" s="69"/>
    </row>
    <row r="1580" spans="7:23" x14ac:dyDescent="0.3">
      <c r="G1580" s="69"/>
      <c r="H1580" s="69"/>
      <c r="I1580" s="69"/>
      <c r="J1580" s="69"/>
      <c r="K1580" s="69"/>
      <c r="L1580" s="69"/>
      <c r="M1580" s="69"/>
      <c r="N1580" s="69"/>
      <c r="O1580" s="69"/>
      <c r="P1580" s="69"/>
      <c r="Q1580" s="69"/>
      <c r="R1580" s="69"/>
      <c r="S1580" s="69"/>
      <c r="T1580" s="69"/>
      <c r="U1580" s="69"/>
      <c r="V1580" s="69"/>
      <c r="W1580" s="69"/>
    </row>
    <row r="1581" spans="7:23" x14ac:dyDescent="0.3">
      <c r="G1581" s="69"/>
      <c r="H1581" s="69"/>
      <c r="I1581" s="69"/>
      <c r="J1581" s="69"/>
      <c r="K1581" s="69"/>
      <c r="L1581" s="69"/>
      <c r="M1581" s="69"/>
      <c r="N1581" s="69"/>
      <c r="O1581" s="69"/>
      <c r="P1581" s="69"/>
      <c r="Q1581" s="69"/>
      <c r="R1581" s="69"/>
      <c r="S1581" s="69"/>
      <c r="T1581" s="69"/>
      <c r="U1581" s="69"/>
      <c r="V1581" s="69"/>
      <c r="W1581" s="69"/>
    </row>
    <row r="1582" spans="7:23" x14ac:dyDescent="0.3">
      <c r="G1582" s="69"/>
      <c r="H1582" s="69"/>
      <c r="I1582" s="69"/>
      <c r="J1582" s="69"/>
      <c r="K1582" s="69"/>
      <c r="L1582" s="69"/>
      <c r="M1582" s="69"/>
      <c r="N1582" s="69"/>
      <c r="O1582" s="69"/>
      <c r="P1582" s="69"/>
      <c r="Q1582" s="69"/>
      <c r="R1582" s="69"/>
      <c r="S1582" s="69"/>
      <c r="T1582" s="69"/>
      <c r="U1582" s="69"/>
      <c r="V1582" s="69"/>
      <c r="W1582" s="69"/>
    </row>
    <row r="1583" spans="7:23" x14ac:dyDescent="0.3">
      <c r="G1583" s="69"/>
      <c r="H1583" s="69"/>
      <c r="I1583" s="69"/>
      <c r="J1583" s="69"/>
      <c r="K1583" s="69"/>
      <c r="L1583" s="69"/>
      <c r="M1583" s="69"/>
      <c r="N1583" s="69"/>
      <c r="O1583" s="69"/>
      <c r="P1583" s="69"/>
      <c r="Q1583" s="69"/>
      <c r="R1583" s="69"/>
      <c r="S1583" s="69"/>
      <c r="T1583" s="69"/>
      <c r="U1583" s="69"/>
      <c r="V1583" s="69"/>
      <c r="W1583" s="69"/>
    </row>
    <row r="1584" spans="7:23" x14ac:dyDescent="0.3">
      <c r="G1584" s="69"/>
      <c r="H1584" s="69"/>
      <c r="I1584" s="69"/>
      <c r="J1584" s="69"/>
      <c r="K1584" s="69"/>
      <c r="L1584" s="69"/>
      <c r="M1584" s="69"/>
      <c r="N1584" s="69"/>
      <c r="O1584" s="69"/>
      <c r="P1584" s="69"/>
      <c r="Q1584" s="69"/>
      <c r="R1584" s="69"/>
      <c r="S1584" s="69"/>
      <c r="T1584" s="69"/>
      <c r="U1584" s="69"/>
      <c r="V1584" s="69"/>
      <c r="W1584" s="69"/>
    </row>
    <row r="1585" spans="7:23" x14ac:dyDescent="0.3">
      <c r="G1585" s="69"/>
      <c r="H1585" s="69"/>
      <c r="I1585" s="69"/>
      <c r="J1585" s="69"/>
      <c r="K1585" s="69"/>
      <c r="L1585" s="69"/>
      <c r="M1585" s="69"/>
      <c r="N1585" s="69"/>
      <c r="O1585" s="69"/>
      <c r="P1585" s="69"/>
      <c r="Q1585" s="69"/>
      <c r="R1585" s="69"/>
      <c r="S1585" s="69"/>
      <c r="T1585" s="69"/>
      <c r="U1585" s="69"/>
      <c r="V1585" s="69"/>
      <c r="W1585" s="69"/>
    </row>
    <row r="1586" spans="7:23" x14ac:dyDescent="0.3">
      <c r="G1586" s="69"/>
      <c r="H1586" s="69"/>
      <c r="I1586" s="69"/>
      <c r="J1586" s="69"/>
      <c r="K1586" s="69"/>
      <c r="L1586" s="69"/>
      <c r="M1586" s="69"/>
      <c r="N1586" s="69"/>
      <c r="O1586" s="69"/>
      <c r="P1586" s="69"/>
      <c r="Q1586" s="69"/>
      <c r="R1586" s="69"/>
      <c r="S1586" s="69"/>
      <c r="T1586" s="69"/>
      <c r="U1586" s="69"/>
      <c r="V1586" s="69"/>
      <c r="W1586" s="69"/>
    </row>
    <row r="1587" spans="7:23" x14ac:dyDescent="0.3">
      <c r="G1587" s="69"/>
      <c r="H1587" s="69"/>
      <c r="I1587" s="69"/>
      <c r="J1587" s="69"/>
      <c r="K1587" s="69"/>
      <c r="L1587" s="69"/>
      <c r="M1587" s="69"/>
      <c r="N1587" s="69"/>
      <c r="O1587" s="69"/>
      <c r="P1587" s="69"/>
      <c r="Q1587" s="69"/>
      <c r="R1587" s="69"/>
      <c r="S1587" s="69"/>
      <c r="T1587" s="69"/>
      <c r="U1587" s="69"/>
      <c r="V1587" s="69"/>
      <c r="W1587" s="69"/>
    </row>
    <row r="1588" spans="7:23" x14ac:dyDescent="0.3">
      <c r="G1588" s="69"/>
      <c r="H1588" s="69"/>
      <c r="I1588" s="69"/>
      <c r="J1588" s="69"/>
      <c r="K1588" s="69"/>
      <c r="L1588" s="69"/>
      <c r="M1588" s="69"/>
      <c r="N1588" s="69"/>
      <c r="O1588" s="69"/>
      <c r="P1588" s="69"/>
      <c r="Q1588" s="69"/>
      <c r="R1588" s="69"/>
      <c r="S1588" s="69"/>
      <c r="T1588" s="69"/>
      <c r="U1588" s="69"/>
      <c r="V1588" s="69"/>
      <c r="W1588" s="69"/>
    </row>
    <row r="1589" spans="7:23" x14ac:dyDescent="0.3">
      <c r="G1589" s="69"/>
      <c r="H1589" s="69"/>
      <c r="I1589" s="69"/>
      <c r="J1589" s="69"/>
      <c r="K1589" s="69"/>
      <c r="L1589" s="69"/>
      <c r="M1589" s="69"/>
      <c r="N1589" s="69"/>
      <c r="O1589" s="69"/>
      <c r="P1589" s="69"/>
      <c r="Q1589" s="69"/>
      <c r="R1589" s="69"/>
      <c r="S1589" s="69"/>
      <c r="T1589" s="69"/>
      <c r="U1589" s="69"/>
      <c r="V1589" s="69"/>
      <c r="W1589" s="69"/>
    </row>
    <row r="1590" spans="7:23" x14ac:dyDescent="0.3">
      <c r="G1590" s="69"/>
      <c r="H1590" s="69"/>
      <c r="I1590" s="69"/>
      <c r="J1590" s="69"/>
      <c r="K1590" s="69"/>
      <c r="L1590" s="69"/>
      <c r="M1590" s="69"/>
      <c r="N1590" s="69"/>
      <c r="O1590" s="69"/>
      <c r="P1590" s="69"/>
      <c r="Q1590" s="69"/>
      <c r="R1590" s="69"/>
      <c r="S1590" s="69"/>
      <c r="T1590" s="69"/>
      <c r="U1590" s="69"/>
      <c r="V1590" s="69"/>
      <c r="W1590" s="69"/>
    </row>
    <row r="1591" spans="7:23" x14ac:dyDescent="0.3">
      <c r="G1591" s="69"/>
      <c r="H1591" s="69"/>
      <c r="I1591" s="69"/>
      <c r="J1591" s="69"/>
      <c r="K1591" s="69"/>
      <c r="L1591" s="69"/>
      <c r="M1591" s="69"/>
      <c r="N1591" s="69"/>
      <c r="O1591" s="69"/>
      <c r="P1591" s="69"/>
      <c r="Q1591" s="69"/>
      <c r="R1591" s="69"/>
      <c r="S1591" s="69"/>
      <c r="T1591" s="69"/>
      <c r="U1591" s="69"/>
      <c r="V1591" s="69"/>
      <c r="W1591" s="69"/>
    </row>
    <row r="1592" spans="7:23" x14ac:dyDescent="0.3">
      <c r="G1592" s="69"/>
      <c r="H1592" s="69"/>
      <c r="I1592" s="69"/>
      <c r="J1592" s="69"/>
      <c r="K1592" s="69"/>
      <c r="L1592" s="69"/>
      <c r="M1592" s="69"/>
      <c r="N1592" s="69"/>
      <c r="O1592" s="69"/>
      <c r="P1592" s="69"/>
      <c r="Q1592" s="69"/>
      <c r="R1592" s="69"/>
      <c r="S1592" s="69"/>
      <c r="T1592" s="69"/>
      <c r="U1592" s="69"/>
      <c r="V1592" s="69"/>
      <c r="W1592" s="69"/>
    </row>
    <row r="1593" spans="7:23" x14ac:dyDescent="0.3">
      <c r="G1593" s="69"/>
      <c r="H1593" s="69"/>
      <c r="I1593" s="69"/>
      <c r="J1593" s="69"/>
      <c r="K1593" s="69"/>
      <c r="L1593" s="69"/>
      <c r="M1593" s="69"/>
      <c r="N1593" s="69"/>
      <c r="O1593" s="69"/>
      <c r="P1593" s="69"/>
      <c r="Q1593" s="69"/>
      <c r="R1593" s="69"/>
      <c r="S1593" s="69"/>
      <c r="T1593" s="69"/>
      <c r="U1593" s="69"/>
      <c r="V1593" s="69"/>
      <c r="W1593" s="69"/>
    </row>
    <row r="1594" spans="7:23" x14ac:dyDescent="0.3">
      <c r="G1594" s="69"/>
      <c r="H1594" s="69"/>
      <c r="I1594" s="69"/>
      <c r="J1594" s="69"/>
      <c r="K1594" s="69"/>
      <c r="L1594" s="69"/>
      <c r="M1594" s="69"/>
      <c r="N1594" s="69"/>
      <c r="O1594" s="69"/>
      <c r="P1594" s="69"/>
      <c r="Q1594" s="69"/>
      <c r="R1594" s="69"/>
      <c r="S1594" s="69"/>
      <c r="T1594" s="69"/>
      <c r="U1594" s="69"/>
      <c r="V1594" s="69"/>
      <c r="W1594" s="69"/>
    </row>
    <row r="1595" spans="7:23" x14ac:dyDescent="0.3">
      <c r="G1595" s="69"/>
      <c r="H1595" s="69"/>
      <c r="I1595" s="69"/>
      <c r="J1595" s="69"/>
      <c r="K1595" s="69"/>
      <c r="L1595" s="69"/>
      <c r="M1595" s="69"/>
      <c r="N1595" s="69"/>
      <c r="O1595" s="69"/>
      <c r="P1595" s="69"/>
      <c r="Q1595" s="69"/>
      <c r="R1595" s="69"/>
      <c r="S1595" s="69"/>
      <c r="T1595" s="69"/>
      <c r="U1595" s="69"/>
      <c r="V1595" s="69"/>
      <c r="W1595" s="69"/>
    </row>
    <row r="1596" spans="7:23" x14ac:dyDescent="0.3">
      <c r="G1596" s="69"/>
      <c r="H1596" s="69"/>
      <c r="I1596" s="69"/>
      <c r="J1596" s="69"/>
      <c r="K1596" s="69"/>
      <c r="L1596" s="69"/>
      <c r="M1596" s="69"/>
      <c r="N1596" s="69"/>
      <c r="O1596" s="69"/>
      <c r="P1596" s="69"/>
      <c r="Q1596" s="69"/>
      <c r="R1596" s="69"/>
      <c r="S1596" s="69"/>
      <c r="T1596" s="69"/>
      <c r="U1596" s="69"/>
      <c r="V1596" s="69"/>
      <c r="W1596" s="69"/>
    </row>
    <row r="1597" spans="7:23" x14ac:dyDescent="0.3">
      <c r="G1597" s="69"/>
      <c r="H1597" s="69"/>
      <c r="I1597" s="69"/>
      <c r="J1597" s="69"/>
      <c r="K1597" s="69"/>
      <c r="L1597" s="69"/>
      <c r="M1597" s="69"/>
      <c r="N1597" s="69"/>
      <c r="O1597" s="69"/>
      <c r="P1597" s="69"/>
      <c r="Q1597" s="69"/>
      <c r="R1597" s="69"/>
      <c r="S1597" s="69"/>
      <c r="T1597" s="69"/>
      <c r="U1597" s="69"/>
      <c r="V1597" s="69"/>
      <c r="W1597" s="69"/>
    </row>
    <row r="1598" spans="7:23" x14ac:dyDescent="0.3">
      <c r="G1598" s="69"/>
      <c r="H1598" s="69"/>
      <c r="I1598" s="69"/>
      <c r="J1598" s="69"/>
      <c r="K1598" s="69"/>
      <c r="L1598" s="69"/>
      <c r="M1598" s="69"/>
      <c r="N1598" s="69"/>
      <c r="O1598" s="69"/>
      <c r="P1598" s="69"/>
      <c r="Q1598" s="69"/>
      <c r="R1598" s="69"/>
      <c r="S1598" s="69"/>
      <c r="T1598" s="69"/>
      <c r="U1598" s="69"/>
      <c r="V1598" s="69"/>
      <c r="W1598" s="69"/>
    </row>
    <row r="1599" spans="7:23" x14ac:dyDescent="0.3">
      <c r="G1599" s="69"/>
      <c r="H1599" s="69"/>
      <c r="I1599" s="69"/>
      <c r="J1599" s="69"/>
      <c r="K1599" s="69"/>
      <c r="L1599" s="69"/>
      <c r="M1599" s="69"/>
      <c r="N1599" s="69"/>
      <c r="O1599" s="69"/>
      <c r="P1599" s="69"/>
      <c r="Q1599" s="69"/>
      <c r="R1599" s="69"/>
      <c r="S1599" s="69"/>
      <c r="T1599" s="69"/>
      <c r="U1599" s="69"/>
      <c r="V1599" s="69"/>
      <c r="W1599" s="69"/>
    </row>
    <row r="1600" spans="7:23" x14ac:dyDescent="0.3">
      <c r="G1600" s="69"/>
      <c r="H1600" s="69"/>
      <c r="I1600" s="69"/>
      <c r="J1600" s="69"/>
      <c r="K1600" s="69"/>
      <c r="L1600" s="69"/>
      <c r="M1600" s="69"/>
      <c r="N1600" s="69"/>
      <c r="O1600" s="69"/>
      <c r="P1600" s="69"/>
      <c r="Q1600" s="69"/>
      <c r="R1600" s="69"/>
      <c r="S1600" s="69"/>
      <c r="T1600" s="69"/>
      <c r="U1600" s="69"/>
      <c r="V1600" s="69"/>
      <c r="W1600" s="69"/>
    </row>
    <row r="1601" spans="7:23" x14ac:dyDescent="0.3">
      <c r="G1601" s="69"/>
      <c r="H1601" s="69"/>
      <c r="I1601" s="69"/>
      <c r="J1601" s="69"/>
      <c r="K1601" s="69"/>
      <c r="L1601" s="69"/>
      <c r="M1601" s="69"/>
      <c r="N1601" s="69"/>
      <c r="O1601" s="69"/>
      <c r="P1601" s="69"/>
      <c r="Q1601" s="69"/>
      <c r="R1601" s="69"/>
      <c r="S1601" s="69"/>
      <c r="T1601" s="69"/>
      <c r="U1601" s="69"/>
      <c r="V1601" s="69"/>
      <c r="W1601" s="69"/>
    </row>
    <row r="1602" spans="7:23" x14ac:dyDescent="0.3">
      <c r="G1602" s="69"/>
      <c r="H1602" s="69"/>
      <c r="I1602" s="69"/>
      <c r="J1602" s="69"/>
      <c r="K1602" s="69"/>
      <c r="L1602" s="69"/>
      <c r="M1602" s="69"/>
      <c r="N1602" s="69"/>
      <c r="O1602" s="69"/>
      <c r="P1602" s="69"/>
      <c r="Q1602" s="69"/>
      <c r="R1602" s="69"/>
      <c r="S1602" s="69"/>
      <c r="T1602" s="69"/>
      <c r="U1602" s="69"/>
      <c r="V1602" s="69"/>
      <c r="W1602" s="69"/>
    </row>
    <row r="1603" spans="7:23" x14ac:dyDescent="0.3">
      <c r="G1603" s="69"/>
      <c r="H1603" s="69"/>
      <c r="I1603" s="69"/>
      <c r="J1603" s="69"/>
      <c r="K1603" s="69"/>
      <c r="L1603" s="69"/>
      <c r="M1603" s="69"/>
      <c r="N1603" s="69"/>
      <c r="O1603" s="69"/>
      <c r="P1603" s="69"/>
      <c r="Q1603" s="69"/>
      <c r="R1603" s="69"/>
      <c r="S1603" s="69"/>
      <c r="T1603" s="69"/>
      <c r="U1603" s="69"/>
      <c r="V1603" s="69"/>
      <c r="W1603" s="69"/>
    </row>
    <row r="1604" spans="7:23" x14ac:dyDescent="0.3">
      <c r="G1604" s="69"/>
      <c r="H1604" s="69"/>
      <c r="I1604" s="69"/>
      <c r="J1604" s="69"/>
      <c r="K1604" s="69"/>
      <c r="L1604" s="69"/>
      <c r="M1604" s="69"/>
      <c r="N1604" s="69"/>
      <c r="O1604" s="69"/>
      <c r="P1604" s="69"/>
      <c r="Q1604" s="69"/>
      <c r="R1604" s="69"/>
      <c r="S1604" s="69"/>
      <c r="T1604" s="69"/>
      <c r="U1604" s="69"/>
      <c r="V1604" s="69"/>
      <c r="W1604" s="69"/>
    </row>
    <row r="1605" spans="7:23" x14ac:dyDescent="0.3">
      <c r="G1605" s="69"/>
      <c r="H1605" s="69"/>
      <c r="I1605" s="69"/>
      <c r="J1605" s="69"/>
      <c r="K1605" s="69"/>
      <c r="L1605" s="69"/>
      <c r="M1605" s="69"/>
      <c r="N1605" s="69"/>
      <c r="O1605" s="69"/>
      <c r="P1605" s="69"/>
      <c r="Q1605" s="69"/>
      <c r="R1605" s="69"/>
      <c r="S1605" s="69"/>
      <c r="T1605" s="69"/>
      <c r="U1605" s="69"/>
      <c r="V1605" s="69"/>
      <c r="W1605" s="69"/>
    </row>
    <row r="1606" spans="7:23" x14ac:dyDescent="0.3">
      <c r="G1606" s="69"/>
      <c r="H1606" s="69"/>
      <c r="I1606" s="69"/>
      <c r="J1606" s="69"/>
      <c r="K1606" s="69"/>
      <c r="L1606" s="69"/>
      <c r="M1606" s="69"/>
      <c r="N1606" s="69"/>
      <c r="O1606" s="69"/>
      <c r="P1606" s="69"/>
      <c r="Q1606" s="69"/>
      <c r="R1606" s="69"/>
      <c r="S1606" s="69"/>
      <c r="T1606" s="69"/>
      <c r="U1606" s="69"/>
      <c r="V1606" s="69"/>
      <c r="W1606" s="69"/>
    </row>
    <row r="1607" spans="7:23" x14ac:dyDescent="0.3">
      <c r="G1607" s="69"/>
      <c r="H1607" s="69"/>
      <c r="I1607" s="69"/>
      <c r="J1607" s="69"/>
      <c r="K1607" s="69"/>
      <c r="L1607" s="69"/>
      <c r="M1607" s="69"/>
      <c r="N1607" s="69"/>
      <c r="O1607" s="69"/>
      <c r="P1607" s="69"/>
      <c r="Q1607" s="69"/>
      <c r="R1607" s="69"/>
      <c r="S1607" s="69"/>
      <c r="T1607" s="69"/>
      <c r="U1607" s="69"/>
      <c r="V1607" s="69"/>
      <c r="W1607" s="69"/>
    </row>
    <row r="1608" spans="7:23" x14ac:dyDescent="0.3">
      <c r="G1608" s="69"/>
      <c r="H1608" s="69"/>
      <c r="I1608" s="69"/>
      <c r="J1608" s="69"/>
      <c r="K1608" s="69"/>
      <c r="L1608" s="69"/>
      <c r="M1608" s="69"/>
      <c r="N1608" s="69"/>
      <c r="O1608" s="69"/>
      <c r="P1608" s="69"/>
      <c r="Q1608" s="69"/>
      <c r="R1608" s="69"/>
      <c r="S1608" s="69"/>
      <c r="T1608" s="69"/>
      <c r="U1608" s="69"/>
      <c r="V1608" s="69"/>
      <c r="W1608" s="69"/>
    </row>
    <row r="1609" spans="7:23" x14ac:dyDescent="0.3">
      <c r="G1609" s="69"/>
      <c r="H1609" s="69"/>
      <c r="I1609" s="69"/>
      <c r="J1609" s="69"/>
      <c r="K1609" s="69"/>
      <c r="L1609" s="69"/>
      <c r="M1609" s="69"/>
      <c r="N1609" s="69"/>
      <c r="O1609" s="69"/>
      <c r="P1609" s="69"/>
      <c r="Q1609" s="69"/>
      <c r="R1609" s="69"/>
      <c r="S1609" s="69"/>
      <c r="T1609" s="69"/>
      <c r="U1609" s="69"/>
      <c r="V1609" s="69"/>
      <c r="W1609" s="69"/>
    </row>
    <row r="1610" spans="7:23" x14ac:dyDescent="0.3">
      <c r="G1610" s="69"/>
      <c r="H1610" s="69"/>
      <c r="I1610" s="69"/>
      <c r="J1610" s="69"/>
      <c r="K1610" s="69"/>
      <c r="L1610" s="69"/>
      <c r="M1610" s="69"/>
      <c r="N1610" s="69"/>
      <c r="O1610" s="69"/>
      <c r="P1610" s="69"/>
      <c r="Q1610" s="69"/>
      <c r="R1610" s="69"/>
      <c r="S1610" s="69"/>
      <c r="T1610" s="69"/>
      <c r="U1610" s="69"/>
      <c r="V1610" s="69"/>
      <c r="W1610" s="69"/>
    </row>
    <row r="1611" spans="7:23" x14ac:dyDescent="0.3">
      <c r="G1611" s="69"/>
      <c r="H1611" s="69"/>
      <c r="I1611" s="69"/>
      <c r="J1611" s="69"/>
      <c r="K1611" s="69"/>
      <c r="L1611" s="69"/>
      <c r="M1611" s="69"/>
      <c r="N1611" s="69"/>
      <c r="O1611" s="69"/>
      <c r="P1611" s="69"/>
      <c r="Q1611" s="69"/>
      <c r="R1611" s="69"/>
      <c r="S1611" s="69"/>
      <c r="T1611" s="69"/>
      <c r="U1611" s="69"/>
      <c r="V1611" s="69"/>
      <c r="W1611" s="69"/>
    </row>
    <row r="1612" spans="7:23" x14ac:dyDescent="0.3">
      <c r="G1612" s="69"/>
      <c r="H1612" s="69"/>
      <c r="I1612" s="69"/>
      <c r="J1612" s="69"/>
      <c r="K1612" s="69"/>
      <c r="L1612" s="69"/>
      <c r="M1612" s="69"/>
      <c r="N1612" s="69"/>
      <c r="O1612" s="69"/>
      <c r="P1612" s="69"/>
      <c r="Q1612" s="69"/>
      <c r="R1612" s="69"/>
      <c r="S1612" s="69"/>
      <c r="T1612" s="69"/>
      <c r="U1612" s="69"/>
      <c r="V1612" s="69"/>
      <c r="W1612" s="69"/>
    </row>
    <row r="1613" spans="7:23" x14ac:dyDescent="0.3">
      <c r="G1613" s="69"/>
      <c r="H1613" s="69"/>
      <c r="I1613" s="69"/>
      <c r="J1613" s="69"/>
      <c r="K1613" s="69"/>
      <c r="L1613" s="69"/>
      <c r="M1613" s="69"/>
      <c r="N1613" s="69"/>
      <c r="O1613" s="69"/>
      <c r="P1613" s="69"/>
      <c r="Q1613" s="69"/>
      <c r="R1613" s="69"/>
      <c r="S1613" s="69"/>
      <c r="T1613" s="69"/>
      <c r="U1613" s="69"/>
      <c r="V1613" s="69"/>
      <c r="W1613" s="69"/>
    </row>
    <row r="1614" spans="7:23" x14ac:dyDescent="0.3">
      <c r="G1614" s="69"/>
      <c r="H1614" s="69"/>
      <c r="I1614" s="69"/>
      <c r="J1614" s="69"/>
      <c r="K1614" s="69"/>
      <c r="L1614" s="69"/>
      <c r="M1614" s="69"/>
      <c r="N1614" s="69"/>
      <c r="O1614" s="69"/>
      <c r="P1614" s="69"/>
      <c r="Q1614" s="69"/>
      <c r="R1614" s="69"/>
      <c r="S1614" s="69"/>
      <c r="T1614" s="69"/>
      <c r="U1614" s="69"/>
      <c r="V1614" s="69"/>
      <c r="W1614" s="69"/>
    </row>
    <row r="1615" spans="7:23" x14ac:dyDescent="0.3">
      <c r="G1615" s="69"/>
      <c r="H1615" s="69"/>
      <c r="I1615" s="69"/>
      <c r="J1615" s="69"/>
      <c r="K1615" s="69"/>
      <c r="L1615" s="69"/>
      <c r="M1615" s="69"/>
      <c r="N1615" s="69"/>
      <c r="O1615" s="69"/>
      <c r="P1615" s="69"/>
      <c r="Q1615" s="69"/>
      <c r="R1615" s="69"/>
      <c r="S1615" s="69"/>
      <c r="T1615" s="69"/>
      <c r="U1615" s="69"/>
      <c r="V1615" s="69"/>
      <c r="W1615" s="69"/>
    </row>
    <row r="1616" spans="7:23" x14ac:dyDescent="0.3">
      <c r="G1616" s="69"/>
      <c r="H1616" s="69"/>
      <c r="I1616" s="69"/>
      <c r="J1616" s="69"/>
      <c r="K1616" s="69"/>
      <c r="L1616" s="69"/>
      <c r="M1616" s="69"/>
      <c r="N1616" s="69"/>
      <c r="O1616" s="69"/>
      <c r="P1616" s="69"/>
      <c r="Q1616" s="69"/>
      <c r="R1616" s="69"/>
      <c r="S1616" s="69"/>
      <c r="T1616" s="69"/>
      <c r="U1616" s="69"/>
      <c r="V1616" s="69"/>
      <c r="W1616" s="69"/>
    </row>
    <row r="1617" spans="1:23" x14ac:dyDescent="0.3">
      <c r="G1617" s="69"/>
      <c r="H1617" s="69"/>
      <c r="I1617" s="69"/>
      <c r="J1617" s="69"/>
      <c r="K1617" s="69"/>
      <c r="L1617" s="69"/>
      <c r="M1617" s="69"/>
      <c r="N1617" s="69"/>
      <c r="O1617" s="69"/>
      <c r="P1617" s="69"/>
      <c r="Q1617" s="69"/>
      <c r="R1617" s="69"/>
      <c r="S1617" s="69"/>
      <c r="T1617" s="69"/>
      <c r="U1617" s="69"/>
      <c r="V1617" s="69"/>
      <c r="W1617" s="69"/>
    </row>
    <row r="1618" spans="1:23" x14ac:dyDescent="0.3">
      <c r="G1618" s="69"/>
      <c r="H1618" s="69"/>
      <c r="I1618" s="69"/>
      <c r="J1618" s="69"/>
      <c r="K1618" s="69"/>
      <c r="L1618" s="69"/>
      <c r="M1618" s="69"/>
      <c r="N1618" s="69"/>
      <c r="O1618" s="69"/>
      <c r="P1618" s="69"/>
      <c r="Q1618" s="69"/>
      <c r="R1618" s="69"/>
      <c r="S1618" s="69"/>
      <c r="T1618" s="69"/>
      <c r="U1618" s="69"/>
      <c r="V1618" s="69"/>
      <c r="W1618" s="69"/>
    </row>
    <row r="1619" spans="1:23" x14ac:dyDescent="0.3">
      <c r="G1619" s="69"/>
      <c r="H1619" s="69"/>
      <c r="I1619" s="69"/>
      <c r="J1619" s="69"/>
      <c r="K1619" s="69"/>
      <c r="L1619" s="69"/>
      <c r="M1619" s="69"/>
      <c r="N1619" s="69"/>
      <c r="O1619" s="69"/>
      <c r="P1619" s="69"/>
      <c r="Q1619" s="69"/>
      <c r="R1619" s="69"/>
      <c r="S1619" s="69"/>
      <c r="T1619" s="69"/>
      <c r="U1619" s="69"/>
      <c r="V1619" s="69"/>
      <c r="W1619" s="69"/>
    </row>
    <row r="1620" spans="1:23" ht="21" x14ac:dyDescent="0.4">
      <c r="A1620" s="48"/>
      <c r="G1620" s="69"/>
      <c r="H1620" s="69"/>
      <c r="I1620" s="69"/>
      <c r="J1620" s="69"/>
      <c r="K1620" s="69"/>
      <c r="L1620" s="69"/>
      <c r="M1620" s="69"/>
      <c r="N1620" s="69"/>
      <c r="O1620" s="69"/>
      <c r="P1620" s="69"/>
      <c r="Q1620" s="69"/>
      <c r="R1620" s="69"/>
      <c r="S1620" s="69"/>
      <c r="T1620" s="69"/>
      <c r="U1620" s="69"/>
      <c r="V1620" s="69"/>
      <c r="W1620" s="69"/>
    </row>
    <row r="1621" spans="1:23" x14ac:dyDescent="0.3">
      <c r="G1621" s="69"/>
      <c r="H1621" s="69"/>
      <c r="I1621" s="69"/>
      <c r="J1621" s="69"/>
      <c r="K1621" s="69"/>
      <c r="L1621" s="69"/>
      <c r="M1621" s="69"/>
      <c r="N1621" s="69"/>
      <c r="O1621" s="69"/>
      <c r="P1621" s="69"/>
      <c r="Q1621" s="69"/>
      <c r="R1621" s="69"/>
      <c r="S1621" s="69"/>
      <c r="T1621" s="69"/>
      <c r="U1621" s="69"/>
      <c r="V1621" s="69"/>
      <c r="W1621" s="69"/>
    </row>
    <row r="1622" spans="1:23" x14ac:dyDescent="0.3">
      <c r="G1622" s="69"/>
      <c r="H1622" s="69"/>
      <c r="I1622" s="69"/>
      <c r="J1622" s="69"/>
      <c r="K1622" s="69"/>
      <c r="L1622" s="69"/>
      <c r="M1622" s="69"/>
      <c r="N1622" s="69"/>
      <c r="O1622" s="69"/>
      <c r="P1622" s="69"/>
      <c r="Q1622" s="69"/>
      <c r="R1622" s="69"/>
      <c r="S1622" s="69"/>
      <c r="T1622" s="69"/>
      <c r="U1622" s="69"/>
      <c r="V1622" s="69"/>
      <c r="W1622" s="69"/>
    </row>
    <row r="1623" spans="1:23" x14ac:dyDescent="0.3">
      <c r="G1623" s="69"/>
      <c r="H1623" s="69"/>
      <c r="I1623" s="69"/>
      <c r="J1623" s="69"/>
      <c r="K1623" s="69"/>
      <c r="L1623" s="69"/>
      <c r="M1623" s="69"/>
      <c r="N1623" s="69"/>
      <c r="O1623" s="69"/>
      <c r="P1623" s="69"/>
      <c r="Q1623" s="69"/>
      <c r="R1623" s="69"/>
      <c r="S1623" s="69"/>
      <c r="T1623" s="69"/>
      <c r="U1623" s="69"/>
      <c r="V1623" s="69"/>
      <c r="W1623" s="69"/>
    </row>
    <row r="1624" spans="1:23" x14ac:dyDescent="0.3">
      <c r="G1624" s="69"/>
      <c r="H1624" s="69"/>
      <c r="I1624" s="69"/>
      <c r="J1624" s="69"/>
      <c r="K1624" s="69"/>
      <c r="L1624" s="69"/>
      <c r="M1624" s="69"/>
      <c r="N1624" s="69"/>
      <c r="O1624" s="69"/>
      <c r="P1624" s="69"/>
      <c r="Q1624" s="69"/>
      <c r="R1624" s="69"/>
      <c r="S1624" s="69"/>
      <c r="T1624" s="69"/>
      <c r="U1624" s="69"/>
      <c r="V1624" s="69"/>
      <c r="W1624" s="69"/>
    </row>
    <row r="1625" spans="1:23" x14ac:dyDescent="0.3">
      <c r="G1625" s="69"/>
      <c r="H1625" s="69"/>
      <c r="I1625" s="69"/>
      <c r="J1625" s="69"/>
      <c r="K1625" s="69"/>
      <c r="L1625" s="69"/>
      <c r="M1625" s="69"/>
      <c r="N1625" s="69"/>
      <c r="O1625" s="69"/>
      <c r="P1625" s="69"/>
      <c r="Q1625" s="69"/>
      <c r="R1625" s="69"/>
      <c r="S1625" s="69"/>
      <c r="T1625" s="69"/>
      <c r="U1625" s="69"/>
      <c r="V1625" s="69"/>
      <c r="W1625" s="69"/>
    </row>
    <row r="1626" spans="1:23" x14ac:dyDescent="0.3">
      <c r="G1626" s="69"/>
      <c r="H1626" s="69"/>
      <c r="I1626" s="69"/>
      <c r="J1626" s="69"/>
      <c r="K1626" s="69"/>
      <c r="L1626" s="69"/>
      <c r="M1626" s="69"/>
      <c r="N1626" s="69"/>
      <c r="O1626" s="69"/>
      <c r="P1626" s="69"/>
      <c r="Q1626" s="69"/>
      <c r="R1626" s="69"/>
      <c r="S1626" s="69"/>
      <c r="T1626" s="69"/>
      <c r="U1626" s="69"/>
      <c r="V1626" s="69"/>
      <c r="W1626" s="69"/>
    </row>
    <row r="1627" spans="1:23" x14ac:dyDescent="0.3">
      <c r="G1627" s="69"/>
      <c r="H1627" s="69"/>
      <c r="I1627" s="69"/>
      <c r="J1627" s="69"/>
      <c r="K1627" s="69"/>
      <c r="L1627" s="69"/>
      <c r="M1627" s="69"/>
      <c r="N1627" s="69"/>
      <c r="O1627" s="69"/>
      <c r="P1627" s="69"/>
      <c r="Q1627" s="69"/>
      <c r="R1627" s="69"/>
      <c r="S1627" s="69"/>
      <c r="T1627" s="69"/>
      <c r="U1627" s="69"/>
      <c r="V1627" s="69"/>
      <c r="W1627" s="69"/>
    </row>
    <row r="1628" spans="1:23" x14ac:dyDescent="0.3">
      <c r="G1628" s="69"/>
      <c r="H1628" s="69"/>
      <c r="I1628" s="69"/>
      <c r="J1628" s="69"/>
      <c r="K1628" s="69"/>
      <c r="L1628" s="69"/>
      <c r="M1628" s="69"/>
      <c r="N1628" s="69"/>
      <c r="O1628" s="69"/>
      <c r="P1628" s="69"/>
      <c r="Q1628" s="69"/>
      <c r="R1628" s="69"/>
      <c r="S1628" s="69"/>
      <c r="T1628" s="69"/>
      <c r="U1628" s="69"/>
      <c r="V1628" s="69"/>
      <c r="W1628" s="69"/>
    </row>
    <row r="1629" spans="1:23" x14ac:dyDescent="0.3">
      <c r="G1629" s="69"/>
      <c r="H1629" s="69"/>
      <c r="I1629" s="69"/>
      <c r="J1629" s="69"/>
      <c r="K1629" s="69"/>
      <c r="L1629" s="69"/>
      <c r="M1629" s="69"/>
      <c r="N1629" s="69"/>
      <c r="O1629" s="69"/>
      <c r="P1629" s="69"/>
      <c r="Q1629" s="69"/>
      <c r="R1629" s="69"/>
      <c r="S1629" s="69"/>
      <c r="T1629" s="69"/>
      <c r="U1629" s="69"/>
      <c r="V1629" s="69"/>
      <c r="W1629" s="69"/>
    </row>
    <row r="1630" spans="1:23" x14ac:dyDescent="0.3">
      <c r="G1630" s="69"/>
      <c r="H1630" s="69"/>
      <c r="I1630" s="69"/>
      <c r="J1630" s="69"/>
      <c r="K1630" s="69"/>
      <c r="L1630" s="69"/>
      <c r="M1630" s="69"/>
      <c r="N1630" s="69"/>
      <c r="O1630" s="69"/>
      <c r="P1630" s="69"/>
      <c r="Q1630" s="69"/>
      <c r="R1630" s="69"/>
      <c r="S1630" s="69"/>
      <c r="T1630" s="69"/>
      <c r="U1630" s="69"/>
      <c r="V1630" s="69"/>
      <c r="W1630" s="69"/>
    </row>
    <row r="1631" spans="1:23" x14ac:dyDescent="0.3">
      <c r="G1631" s="69"/>
      <c r="H1631" s="69"/>
      <c r="I1631" s="69"/>
      <c r="J1631" s="69"/>
      <c r="K1631" s="69"/>
      <c r="L1631" s="69"/>
      <c r="M1631" s="69"/>
      <c r="N1631" s="69"/>
      <c r="O1631" s="69"/>
      <c r="P1631" s="69"/>
      <c r="Q1631" s="69"/>
      <c r="R1631" s="69"/>
      <c r="S1631" s="69"/>
      <c r="T1631" s="69"/>
      <c r="U1631" s="69"/>
      <c r="V1631" s="69"/>
      <c r="W1631" s="69"/>
    </row>
    <row r="1632" spans="1:23" x14ac:dyDescent="0.3">
      <c r="G1632" s="69"/>
      <c r="H1632" s="69"/>
      <c r="I1632" s="69"/>
      <c r="J1632" s="69"/>
      <c r="K1632" s="69"/>
      <c r="L1632" s="69"/>
      <c r="M1632" s="69"/>
      <c r="N1632" s="69"/>
      <c r="O1632" s="69"/>
      <c r="P1632" s="69"/>
      <c r="Q1632" s="69"/>
      <c r="R1632" s="69"/>
      <c r="S1632" s="69"/>
      <c r="T1632" s="69"/>
      <c r="U1632" s="69"/>
      <c r="V1632" s="69"/>
      <c r="W1632" s="69"/>
    </row>
    <row r="1633" spans="7:23" x14ac:dyDescent="0.3">
      <c r="G1633" s="69"/>
      <c r="H1633" s="69"/>
      <c r="I1633" s="69"/>
      <c r="J1633" s="69"/>
      <c r="K1633" s="69"/>
      <c r="L1633" s="69"/>
      <c r="M1633" s="69"/>
      <c r="N1633" s="69"/>
      <c r="O1633" s="69"/>
      <c r="P1633" s="69"/>
      <c r="Q1633" s="69"/>
      <c r="R1633" s="69"/>
      <c r="S1633" s="69"/>
      <c r="T1633" s="69"/>
      <c r="U1633" s="69"/>
      <c r="V1633" s="69"/>
      <c r="W1633" s="69"/>
    </row>
    <row r="1634" spans="7:23" x14ac:dyDescent="0.3">
      <c r="G1634" s="69"/>
      <c r="H1634" s="69"/>
      <c r="I1634" s="69"/>
      <c r="J1634" s="69"/>
      <c r="K1634" s="69"/>
      <c r="L1634" s="69"/>
      <c r="M1634" s="69"/>
      <c r="N1634" s="69"/>
      <c r="O1634" s="69"/>
      <c r="P1634" s="69"/>
      <c r="Q1634" s="69"/>
      <c r="R1634" s="69"/>
      <c r="S1634" s="69"/>
      <c r="T1634" s="69"/>
      <c r="U1634" s="69"/>
      <c r="V1634" s="69"/>
      <c r="W1634" s="69"/>
    </row>
    <row r="1635" spans="7:23" x14ac:dyDescent="0.3">
      <c r="G1635" s="69"/>
      <c r="H1635" s="69"/>
      <c r="I1635" s="69"/>
      <c r="J1635" s="69"/>
      <c r="K1635" s="69"/>
      <c r="L1635" s="69"/>
      <c r="M1635" s="69"/>
      <c r="N1635" s="69"/>
      <c r="O1635" s="69"/>
      <c r="P1635" s="69"/>
      <c r="Q1635" s="69"/>
      <c r="R1635" s="69"/>
      <c r="S1635" s="69"/>
      <c r="T1635" s="69"/>
      <c r="U1635" s="69"/>
      <c r="V1635" s="69"/>
      <c r="W1635" s="69"/>
    </row>
    <row r="1636" spans="7:23" x14ac:dyDescent="0.3">
      <c r="G1636" s="69"/>
      <c r="H1636" s="69"/>
      <c r="I1636" s="69"/>
      <c r="J1636" s="69"/>
      <c r="K1636" s="69"/>
      <c r="L1636" s="69"/>
      <c r="M1636" s="69"/>
      <c r="N1636" s="69"/>
      <c r="O1636" s="69"/>
      <c r="P1636" s="69"/>
      <c r="Q1636" s="69"/>
      <c r="R1636" s="69"/>
      <c r="S1636" s="69"/>
      <c r="T1636" s="69"/>
      <c r="U1636" s="69"/>
      <c r="V1636" s="69"/>
      <c r="W1636" s="69"/>
    </row>
    <row r="1637" spans="7:23" x14ac:dyDescent="0.3">
      <c r="G1637" s="69"/>
      <c r="H1637" s="69"/>
      <c r="I1637" s="69"/>
      <c r="J1637" s="69"/>
      <c r="K1637" s="69"/>
      <c r="L1637" s="69"/>
      <c r="M1637" s="69"/>
      <c r="N1637" s="69"/>
      <c r="O1637" s="69"/>
      <c r="P1637" s="69"/>
      <c r="Q1637" s="69"/>
      <c r="R1637" s="69"/>
      <c r="S1637" s="69"/>
      <c r="T1637" s="69"/>
      <c r="U1637" s="69"/>
      <c r="V1637" s="69"/>
      <c r="W1637" s="69"/>
    </row>
    <row r="1638" spans="7:23" x14ac:dyDescent="0.3">
      <c r="G1638" s="69"/>
      <c r="H1638" s="69"/>
      <c r="I1638" s="69"/>
      <c r="J1638" s="69"/>
      <c r="K1638" s="69"/>
      <c r="L1638" s="69"/>
      <c r="M1638" s="69"/>
      <c r="N1638" s="69"/>
      <c r="O1638" s="69"/>
      <c r="P1638" s="69"/>
      <c r="Q1638" s="69"/>
      <c r="R1638" s="69"/>
      <c r="S1638" s="69"/>
      <c r="T1638" s="69"/>
      <c r="U1638" s="69"/>
      <c r="V1638" s="69"/>
      <c r="W1638" s="69"/>
    </row>
    <row r="1639" spans="7:23" x14ac:dyDescent="0.3">
      <c r="G1639" s="69"/>
      <c r="H1639" s="69"/>
      <c r="I1639" s="69"/>
      <c r="J1639" s="69"/>
      <c r="K1639" s="69"/>
      <c r="L1639" s="69"/>
      <c r="M1639" s="69"/>
      <c r="N1639" s="69"/>
      <c r="O1639" s="69"/>
      <c r="P1639" s="69"/>
      <c r="Q1639" s="69"/>
      <c r="R1639" s="69"/>
      <c r="S1639" s="69"/>
      <c r="T1639" s="69"/>
      <c r="U1639" s="69"/>
      <c r="V1639" s="69"/>
      <c r="W1639" s="69"/>
    </row>
    <row r="1640" spans="7:23" x14ac:dyDescent="0.3">
      <c r="G1640" s="69"/>
      <c r="H1640" s="69"/>
      <c r="I1640" s="69"/>
      <c r="J1640" s="69"/>
      <c r="K1640" s="69"/>
      <c r="L1640" s="69"/>
      <c r="M1640" s="69"/>
      <c r="N1640" s="69"/>
      <c r="O1640" s="69"/>
      <c r="P1640" s="69"/>
      <c r="Q1640" s="69"/>
      <c r="R1640" s="69"/>
      <c r="S1640" s="69"/>
      <c r="T1640" s="69"/>
      <c r="U1640" s="69"/>
      <c r="V1640" s="69"/>
      <c r="W1640" s="69"/>
    </row>
    <row r="1641" spans="7:23" x14ac:dyDescent="0.3">
      <c r="G1641" s="69"/>
      <c r="H1641" s="69"/>
      <c r="I1641" s="69"/>
      <c r="J1641" s="69"/>
      <c r="K1641" s="69"/>
      <c r="L1641" s="69"/>
      <c r="M1641" s="69"/>
      <c r="N1641" s="69"/>
      <c r="O1641" s="69"/>
      <c r="P1641" s="69"/>
      <c r="Q1641" s="69"/>
      <c r="R1641" s="69"/>
      <c r="S1641" s="69"/>
      <c r="T1641" s="69"/>
      <c r="U1641" s="69"/>
      <c r="V1641" s="69"/>
      <c r="W1641" s="69"/>
    </row>
    <row r="1642" spans="7:23" x14ac:dyDescent="0.3">
      <c r="G1642" s="69"/>
      <c r="H1642" s="69"/>
      <c r="I1642" s="69"/>
      <c r="J1642" s="69"/>
      <c r="K1642" s="69"/>
      <c r="L1642" s="69"/>
      <c r="M1642" s="69"/>
      <c r="N1642" s="69"/>
      <c r="O1642" s="69"/>
      <c r="P1642" s="69"/>
      <c r="Q1642" s="69"/>
      <c r="R1642" s="69"/>
      <c r="S1642" s="69"/>
      <c r="T1642" s="69"/>
      <c r="U1642" s="69"/>
      <c r="V1642" s="69"/>
      <c r="W1642" s="69"/>
    </row>
    <row r="1643" spans="7:23" x14ac:dyDescent="0.3">
      <c r="G1643" s="69"/>
      <c r="H1643" s="69"/>
      <c r="I1643" s="69"/>
      <c r="J1643" s="69"/>
      <c r="K1643" s="69"/>
      <c r="L1643" s="69"/>
      <c r="M1643" s="69"/>
      <c r="N1643" s="69"/>
      <c r="O1643" s="69"/>
      <c r="P1643" s="69"/>
      <c r="Q1643" s="69"/>
      <c r="R1643" s="69"/>
      <c r="S1643" s="69"/>
      <c r="T1643" s="69"/>
      <c r="U1643" s="69"/>
      <c r="V1643" s="69"/>
      <c r="W1643" s="69"/>
    </row>
    <row r="1644" spans="7:23" x14ac:dyDescent="0.3">
      <c r="G1644" s="69"/>
      <c r="H1644" s="69"/>
      <c r="I1644" s="69"/>
      <c r="J1644" s="69"/>
      <c r="K1644" s="69"/>
      <c r="L1644" s="69"/>
      <c r="M1644" s="69"/>
      <c r="N1644" s="69"/>
      <c r="O1644" s="69"/>
      <c r="P1644" s="69"/>
      <c r="Q1644" s="69"/>
      <c r="R1644" s="69"/>
      <c r="S1644" s="69"/>
      <c r="T1644" s="69"/>
      <c r="U1644" s="69"/>
      <c r="V1644" s="69"/>
      <c r="W1644" s="69"/>
    </row>
    <row r="1645" spans="7:23" x14ac:dyDescent="0.3">
      <c r="G1645" s="69"/>
      <c r="H1645" s="69"/>
      <c r="I1645" s="69"/>
      <c r="J1645" s="69"/>
      <c r="K1645" s="69"/>
      <c r="L1645" s="69"/>
      <c r="M1645" s="69"/>
      <c r="N1645" s="69"/>
      <c r="O1645" s="69"/>
      <c r="P1645" s="69"/>
      <c r="Q1645" s="69"/>
      <c r="R1645" s="69"/>
      <c r="S1645" s="69"/>
      <c r="T1645" s="69"/>
      <c r="U1645" s="69"/>
      <c r="V1645" s="69"/>
      <c r="W1645" s="69"/>
    </row>
    <row r="1646" spans="7:23" x14ac:dyDescent="0.3">
      <c r="G1646" s="69"/>
      <c r="H1646" s="69"/>
      <c r="I1646" s="69"/>
      <c r="J1646" s="69"/>
      <c r="K1646" s="69"/>
      <c r="L1646" s="69"/>
      <c r="M1646" s="69"/>
      <c r="N1646" s="69"/>
      <c r="O1646" s="69"/>
      <c r="P1646" s="69"/>
      <c r="Q1646" s="69"/>
      <c r="R1646" s="69"/>
      <c r="S1646" s="69"/>
      <c r="T1646" s="69"/>
      <c r="U1646" s="69"/>
      <c r="V1646" s="69"/>
      <c r="W1646" s="69"/>
    </row>
    <row r="1647" spans="7:23" x14ac:dyDescent="0.3">
      <c r="G1647" s="69"/>
      <c r="H1647" s="69"/>
      <c r="I1647" s="69"/>
      <c r="J1647" s="69"/>
      <c r="K1647" s="69"/>
      <c r="L1647" s="69"/>
      <c r="M1647" s="69"/>
      <c r="N1647" s="69"/>
      <c r="O1647" s="69"/>
      <c r="P1647" s="69"/>
      <c r="Q1647" s="69"/>
      <c r="R1647" s="69"/>
      <c r="S1647" s="69"/>
      <c r="T1647" s="69"/>
      <c r="U1647" s="69"/>
      <c r="V1647" s="69"/>
      <c r="W1647" s="69"/>
    </row>
    <row r="1648" spans="7:23" x14ac:dyDescent="0.3">
      <c r="G1648" s="69"/>
      <c r="H1648" s="69"/>
      <c r="I1648" s="69"/>
      <c r="J1648" s="69"/>
      <c r="K1648" s="69"/>
      <c r="L1648" s="69"/>
      <c r="M1648" s="69"/>
      <c r="N1648" s="69"/>
      <c r="O1648" s="69"/>
      <c r="P1648" s="69"/>
      <c r="Q1648" s="69"/>
      <c r="R1648" s="69"/>
      <c r="S1648" s="69"/>
      <c r="T1648" s="69"/>
      <c r="U1648" s="69"/>
      <c r="V1648" s="69"/>
      <c r="W1648" s="69"/>
    </row>
    <row r="1649" spans="7:23" x14ac:dyDescent="0.3">
      <c r="G1649" s="69"/>
      <c r="H1649" s="69"/>
      <c r="I1649" s="69"/>
      <c r="J1649" s="69"/>
      <c r="K1649" s="69"/>
      <c r="L1649" s="69"/>
      <c r="M1649" s="69"/>
      <c r="N1649" s="69"/>
      <c r="O1649" s="69"/>
      <c r="P1649" s="69"/>
      <c r="Q1649" s="69"/>
      <c r="R1649" s="69"/>
      <c r="S1649" s="69"/>
      <c r="T1649" s="69"/>
      <c r="U1649" s="69"/>
      <c r="V1649" s="69"/>
      <c r="W1649" s="69"/>
    </row>
    <row r="1650" spans="7:23" x14ac:dyDescent="0.3">
      <c r="G1650" s="69"/>
      <c r="H1650" s="69"/>
      <c r="I1650" s="69"/>
      <c r="J1650" s="69"/>
      <c r="K1650" s="69"/>
      <c r="L1650" s="69"/>
      <c r="M1650" s="69"/>
      <c r="N1650" s="69"/>
      <c r="O1650" s="69"/>
      <c r="P1650" s="69"/>
      <c r="Q1650" s="69"/>
      <c r="R1650" s="69"/>
      <c r="S1650" s="69"/>
      <c r="T1650" s="69"/>
      <c r="U1650" s="69"/>
      <c r="V1650" s="69"/>
      <c r="W1650" s="69"/>
    </row>
    <row r="1651" spans="7:23" x14ac:dyDescent="0.3">
      <c r="G1651" s="69"/>
      <c r="H1651" s="69"/>
      <c r="I1651" s="69"/>
      <c r="J1651" s="69"/>
      <c r="K1651" s="69"/>
      <c r="L1651" s="69"/>
      <c r="M1651" s="69"/>
      <c r="N1651" s="69"/>
      <c r="O1651" s="69"/>
      <c r="P1651" s="69"/>
      <c r="Q1651" s="69"/>
      <c r="R1651" s="69"/>
      <c r="S1651" s="69"/>
      <c r="T1651" s="69"/>
      <c r="U1651" s="69"/>
      <c r="V1651" s="69"/>
      <c r="W1651" s="69"/>
    </row>
    <row r="1652" spans="7:23" x14ac:dyDescent="0.3">
      <c r="G1652" s="69"/>
      <c r="H1652" s="69"/>
      <c r="I1652" s="69"/>
      <c r="J1652" s="69"/>
      <c r="K1652" s="69"/>
      <c r="L1652" s="69"/>
      <c r="M1652" s="69"/>
      <c r="N1652" s="69"/>
      <c r="O1652" s="69"/>
      <c r="P1652" s="69"/>
      <c r="Q1652" s="69"/>
      <c r="R1652" s="69"/>
      <c r="S1652" s="69"/>
      <c r="T1652" s="69"/>
      <c r="U1652" s="69"/>
      <c r="V1652" s="69"/>
      <c r="W1652" s="69"/>
    </row>
    <row r="1653" spans="7:23" x14ac:dyDescent="0.3">
      <c r="G1653" s="69"/>
      <c r="H1653" s="69"/>
      <c r="I1653" s="69"/>
      <c r="J1653" s="69"/>
      <c r="K1653" s="69"/>
      <c r="L1653" s="69"/>
      <c r="M1653" s="69"/>
      <c r="N1653" s="69"/>
      <c r="O1653" s="69"/>
      <c r="P1653" s="69"/>
      <c r="Q1653" s="69"/>
      <c r="R1653" s="69"/>
      <c r="S1653" s="69"/>
      <c r="T1653" s="69"/>
      <c r="U1653" s="69"/>
      <c r="V1653" s="69"/>
      <c r="W1653" s="69"/>
    </row>
    <row r="1654" spans="7:23" x14ac:dyDescent="0.3">
      <c r="G1654" s="69"/>
      <c r="H1654" s="69"/>
      <c r="I1654" s="69"/>
      <c r="J1654" s="69"/>
      <c r="K1654" s="69"/>
      <c r="L1654" s="69"/>
      <c r="M1654" s="69"/>
      <c r="N1654" s="69"/>
      <c r="O1654" s="69"/>
      <c r="P1654" s="69"/>
      <c r="Q1654" s="69"/>
      <c r="R1654" s="69"/>
      <c r="S1654" s="69"/>
      <c r="T1654" s="69"/>
      <c r="U1654" s="69"/>
      <c r="V1654" s="69"/>
      <c r="W1654" s="69"/>
    </row>
    <row r="1655" spans="7:23" x14ac:dyDescent="0.3">
      <c r="G1655" s="69"/>
      <c r="H1655" s="69"/>
      <c r="I1655" s="69"/>
      <c r="J1655" s="69"/>
      <c r="K1655" s="69"/>
      <c r="L1655" s="69"/>
      <c r="M1655" s="69"/>
      <c r="N1655" s="69"/>
      <c r="O1655" s="69"/>
      <c r="P1655" s="69"/>
      <c r="Q1655" s="69"/>
      <c r="R1655" s="69"/>
      <c r="S1655" s="69"/>
      <c r="T1655" s="69"/>
      <c r="U1655" s="69"/>
      <c r="V1655" s="69"/>
      <c r="W1655" s="69"/>
    </row>
    <row r="1656" spans="7:23" x14ac:dyDescent="0.3">
      <c r="G1656" s="69"/>
      <c r="H1656" s="69"/>
      <c r="I1656" s="69"/>
      <c r="J1656" s="69"/>
      <c r="K1656" s="69"/>
      <c r="L1656" s="69"/>
      <c r="M1656" s="69"/>
      <c r="N1656" s="69"/>
      <c r="O1656" s="69"/>
      <c r="P1656" s="69"/>
      <c r="Q1656" s="69"/>
      <c r="R1656" s="69"/>
      <c r="S1656" s="69"/>
      <c r="T1656" s="69"/>
      <c r="U1656" s="69"/>
      <c r="V1656" s="69"/>
      <c r="W1656" s="69"/>
    </row>
    <row r="1657" spans="7:23" x14ac:dyDescent="0.3">
      <c r="G1657" s="69"/>
      <c r="H1657" s="69"/>
      <c r="I1657" s="69"/>
      <c r="J1657" s="69"/>
      <c r="K1657" s="69"/>
      <c r="L1657" s="69"/>
      <c r="M1657" s="69"/>
      <c r="N1657" s="69"/>
      <c r="O1657" s="69"/>
      <c r="P1657" s="69"/>
      <c r="Q1657" s="69"/>
      <c r="R1657" s="69"/>
      <c r="S1657" s="69"/>
      <c r="T1657" s="69"/>
      <c r="U1657" s="69"/>
      <c r="V1657" s="69"/>
      <c r="W1657" s="69"/>
    </row>
    <row r="1658" spans="7:23" x14ac:dyDescent="0.3">
      <c r="G1658" s="69"/>
      <c r="H1658" s="69"/>
      <c r="I1658" s="69"/>
      <c r="J1658" s="69"/>
      <c r="K1658" s="69"/>
      <c r="L1658" s="69"/>
      <c r="M1658" s="69"/>
      <c r="N1658" s="69"/>
      <c r="O1658" s="69"/>
      <c r="P1658" s="69"/>
      <c r="Q1658" s="69"/>
      <c r="R1658" s="69"/>
      <c r="S1658" s="69"/>
      <c r="T1658" s="69"/>
      <c r="U1658" s="69"/>
      <c r="V1658" s="69"/>
      <c r="W1658" s="69"/>
    </row>
    <row r="1659" spans="7:23" x14ac:dyDescent="0.3">
      <c r="G1659" s="69"/>
      <c r="H1659" s="69"/>
      <c r="I1659" s="69"/>
      <c r="J1659" s="69"/>
      <c r="K1659" s="69"/>
      <c r="L1659" s="69"/>
      <c r="M1659" s="69"/>
      <c r="N1659" s="69"/>
      <c r="O1659" s="69"/>
      <c r="P1659" s="69"/>
      <c r="Q1659" s="69"/>
      <c r="R1659" s="69"/>
      <c r="S1659" s="69"/>
      <c r="T1659" s="69"/>
      <c r="U1659" s="69"/>
      <c r="V1659" s="69"/>
      <c r="W1659" s="69"/>
    </row>
    <row r="1660" spans="7:23" x14ac:dyDescent="0.3">
      <c r="G1660" s="69"/>
      <c r="H1660" s="69"/>
      <c r="I1660" s="69"/>
      <c r="J1660" s="69"/>
      <c r="K1660" s="69"/>
      <c r="L1660" s="69"/>
      <c r="M1660" s="69"/>
      <c r="N1660" s="69"/>
      <c r="O1660" s="69"/>
      <c r="P1660" s="69"/>
      <c r="Q1660" s="69"/>
      <c r="R1660" s="69"/>
      <c r="S1660" s="69"/>
      <c r="T1660" s="69"/>
      <c r="U1660" s="69"/>
      <c r="V1660" s="69"/>
      <c r="W1660" s="69"/>
    </row>
    <row r="1661" spans="7:23" x14ac:dyDescent="0.3">
      <c r="G1661" s="69"/>
      <c r="H1661" s="69"/>
      <c r="I1661" s="69"/>
      <c r="J1661" s="69"/>
      <c r="K1661" s="69"/>
      <c r="L1661" s="69"/>
      <c r="M1661" s="69"/>
      <c r="N1661" s="69"/>
      <c r="O1661" s="69"/>
      <c r="P1661" s="69"/>
      <c r="Q1661" s="69"/>
      <c r="R1661" s="69"/>
      <c r="S1661" s="69"/>
      <c r="T1661" s="69"/>
      <c r="U1661" s="69"/>
      <c r="V1661" s="69"/>
      <c r="W1661" s="69"/>
    </row>
    <row r="1662" spans="7:23" x14ac:dyDescent="0.3">
      <c r="G1662" s="69"/>
      <c r="H1662" s="69"/>
      <c r="I1662" s="69"/>
      <c r="J1662" s="69"/>
      <c r="K1662" s="69"/>
      <c r="L1662" s="69"/>
      <c r="M1662" s="69"/>
      <c r="N1662" s="69"/>
      <c r="O1662" s="69"/>
      <c r="P1662" s="69"/>
      <c r="Q1662" s="69"/>
      <c r="R1662" s="69"/>
      <c r="S1662" s="69"/>
      <c r="T1662" s="69"/>
      <c r="U1662" s="69"/>
      <c r="V1662" s="69"/>
      <c r="W1662" s="69"/>
    </row>
    <row r="1663" spans="7:23" x14ac:dyDescent="0.3">
      <c r="G1663" s="69"/>
      <c r="H1663" s="69"/>
      <c r="I1663" s="69"/>
      <c r="J1663" s="69"/>
      <c r="K1663" s="69"/>
      <c r="L1663" s="69"/>
      <c r="M1663" s="69"/>
      <c r="N1663" s="69"/>
      <c r="O1663" s="69"/>
      <c r="P1663" s="69"/>
      <c r="Q1663" s="69"/>
      <c r="R1663" s="69"/>
      <c r="S1663" s="69"/>
      <c r="T1663" s="69"/>
      <c r="U1663" s="69"/>
      <c r="V1663" s="69"/>
      <c r="W1663" s="69"/>
    </row>
    <row r="1664" spans="7:23" x14ac:dyDescent="0.3">
      <c r="G1664" s="69"/>
      <c r="H1664" s="69"/>
      <c r="I1664" s="69"/>
      <c r="J1664" s="69"/>
      <c r="K1664" s="69"/>
      <c r="L1664" s="69"/>
      <c r="M1664" s="69"/>
      <c r="N1664" s="69"/>
      <c r="O1664" s="69"/>
      <c r="P1664" s="69"/>
      <c r="Q1664" s="69"/>
      <c r="R1664" s="69"/>
      <c r="S1664" s="69"/>
      <c r="T1664" s="69"/>
      <c r="U1664" s="69"/>
      <c r="V1664" s="69"/>
      <c r="W1664" s="69"/>
    </row>
    <row r="1665" spans="7:23" x14ac:dyDescent="0.3">
      <c r="G1665" s="69"/>
      <c r="H1665" s="69"/>
      <c r="I1665" s="69"/>
      <c r="J1665" s="69"/>
      <c r="K1665" s="69"/>
      <c r="L1665" s="69"/>
      <c r="M1665" s="69"/>
      <c r="N1665" s="69"/>
      <c r="O1665" s="69"/>
      <c r="P1665" s="69"/>
      <c r="Q1665" s="69"/>
      <c r="R1665" s="69"/>
      <c r="S1665" s="69"/>
      <c r="T1665" s="69"/>
      <c r="U1665" s="69"/>
      <c r="V1665" s="69"/>
      <c r="W1665" s="69"/>
    </row>
    <row r="1666" spans="7:23" x14ac:dyDescent="0.3">
      <c r="G1666" s="69"/>
      <c r="H1666" s="69"/>
      <c r="I1666" s="69"/>
      <c r="J1666" s="69"/>
      <c r="K1666" s="69"/>
      <c r="L1666" s="69"/>
      <c r="M1666" s="69"/>
      <c r="N1666" s="69"/>
      <c r="O1666" s="69"/>
      <c r="P1666" s="69"/>
      <c r="Q1666" s="69"/>
      <c r="R1666" s="69"/>
      <c r="S1666" s="69"/>
      <c r="T1666" s="69"/>
      <c r="U1666" s="69"/>
      <c r="V1666" s="69"/>
      <c r="W1666" s="69"/>
    </row>
    <row r="1667" spans="7:23" x14ac:dyDescent="0.3">
      <c r="G1667" s="69"/>
      <c r="H1667" s="69"/>
      <c r="I1667" s="69"/>
      <c r="J1667" s="69"/>
      <c r="K1667" s="69"/>
      <c r="L1667" s="69"/>
      <c r="M1667" s="69"/>
      <c r="N1667" s="69"/>
      <c r="O1667" s="69"/>
      <c r="P1667" s="69"/>
      <c r="Q1667" s="69"/>
      <c r="R1667" s="69"/>
      <c r="S1667" s="69"/>
      <c r="T1667" s="69"/>
      <c r="U1667" s="69"/>
      <c r="V1667" s="69"/>
      <c r="W1667" s="69"/>
    </row>
    <row r="1668" spans="7:23" x14ac:dyDescent="0.3">
      <c r="G1668" s="69"/>
      <c r="H1668" s="69"/>
      <c r="I1668" s="69"/>
      <c r="J1668" s="69"/>
      <c r="K1668" s="69"/>
      <c r="L1668" s="69"/>
      <c r="M1668" s="69"/>
      <c r="N1668" s="69"/>
      <c r="O1668" s="69"/>
      <c r="P1668" s="69"/>
      <c r="Q1668" s="69"/>
      <c r="R1668" s="69"/>
      <c r="S1668" s="69"/>
      <c r="T1668" s="69"/>
      <c r="U1668" s="69"/>
      <c r="V1668" s="69"/>
      <c r="W1668" s="69"/>
    </row>
    <row r="1669" spans="7:23" x14ac:dyDescent="0.3">
      <c r="G1669" s="69"/>
      <c r="H1669" s="69"/>
      <c r="I1669" s="69"/>
      <c r="J1669" s="69"/>
      <c r="K1669" s="69"/>
      <c r="L1669" s="69"/>
      <c r="M1669" s="69"/>
      <c r="N1669" s="69"/>
      <c r="O1669" s="69"/>
      <c r="P1669" s="69"/>
      <c r="Q1669" s="69"/>
      <c r="R1669" s="69"/>
      <c r="S1669" s="69"/>
      <c r="T1669" s="69"/>
      <c r="U1669" s="69"/>
      <c r="V1669" s="69"/>
      <c r="W1669" s="69"/>
    </row>
    <row r="1670" spans="7:23" x14ac:dyDescent="0.3">
      <c r="G1670" s="69"/>
      <c r="H1670" s="69"/>
      <c r="I1670" s="69"/>
      <c r="J1670" s="69"/>
      <c r="K1670" s="69"/>
      <c r="L1670" s="69"/>
      <c r="M1670" s="69"/>
      <c r="N1670" s="69"/>
      <c r="O1670" s="69"/>
      <c r="P1670" s="69"/>
      <c r="Q1670" s="69"/>
      <c r="R1670" s="69"/>
      <c r="S1670" s="69"/>
      <c r="T1670" s="69"/>
      <c r="U1670" s="69"/>
      <c r="V1670" s="69"/>
      <c r="W1670" s="69"/>
    </row>
    <row r="1671" spans="7:23" x14ac:dyDescent="0.3">
      <c r="G1671" s="69"/>
      <c r="H1671" s="69"/>
      <c r="I1671" s="69"/>
      <c r="J1671" s="69"/>
      <c r="K1671" s="69"/>
      <c r="L1671" s="69"/>
      <c r="M1671" s="69"/>
      <c r="N1671" s="69"/>
      <c r="O1671" s="69"/>
      <c r="P1671" s="69"/>
      <c r="Q1671" s="69"/>
      <c r="R1671" s="69"/>
      <c r="S1671" s="69"/>
      <c r="T1671" s="69"/>
      <c r="U1671" s="69"/>
      <c r="V1671" s="69"/>
      <c r="W1671" s="69"/>
    </row>
    <row r="1672" spans="7:23" x14ac:dyDescent="0.3">
      <c r="G1672" s="69"/>
      <c r="H1672" s="69"/>
      <c r="I1672" s="69"/>
      <c r="J1672" s="69"/>
      <c r="K1672" s="69"/>
      <c r="L1672" s="69"/>
      <c r="M1672" s="69"/>
      <c r="N1672" s="69"/>
      <c r="O1672" s="69"/>
      <c r="P1672" s="69"/>
      <c r="Q1672" s="69"/>
      <c r="R1672" s="69"/>
      <c r="S1672" s="69"/>
      <c r="T1672" s="69"/>
      <c r="U1672" s="69"/>
      <c r="V1672" s="69"/>
      <c r="W1672" s="69"/>
    </row>
    <row r="1673" spans="7:23" x14ac:dyDescent="0.3">
      <c r="G1673" s="69"/>
      <c r="H1673" s="69"/>
      <c r="I1673" s="69"/>
      <c r="J1673" s="69"/>
      <c r="K1673" s="69"/>
      <c r="L1673" s="69"/>
      <c r="M1673" s="69"/>
      <c r="N1673" s="69"/>
      <c r="O1673" s="69"/>
      <c r="P1673" s="69"/>
      <c r="Q1673" s="69"/>
      <c r="R1673" s="69"/>
      <c r="S1673" s="69"/>
      <c r="T1673" s="69"/>
      <c r="U1673" s="69"/>
      <c r="V1673" s="69"/>
      <c r="W1673" s="69"/>
    </row>
    <row r="1674" spans="7:23" x14ac:dyDescent="0.3">
      <c r="G1674" s="69"/>
      <c r="H1674" s="69"/>
      <c r="I1674" s="69"/>
      <c r="J1674" s="69"/>
      <c r="K1674" s="69"/>
      <c r="L1674" s="69"/>
      <c r="M1674" s="69"/>
      <c r="N1674" s="69"/>
      <c r="O1674" s="69"/>
      <c r="P1674" s="69"/>
      <c r="Q1674" s="69"/>
      <c r="R1674" s="69"/>
      <c r="S1674" s="69"/>
      <c r="T1674" s="69"/>
      <c r="U1674" s="69"/>
      <c r="V1674" s="69"/>
      <c r="W1674" s="69"/>
    </row>
    <row r="1675" spans="7:23" x14ac:dyDescent="0.3">
      <c r="G1675" s="69"/>
      <c r="H1675" s="69"/>
      <c r="I1675" s="69"/>
      <c r="J1675" s="69"/>
      <c r="K1675" s="69"/>
      <c r="L1675" s="69"/>
      <c r="M1675" s="69"/>
      <c r="N1675" s="69"/>
      <c r="O1675" s="69"/>
      <c r="P1675" s="69"/>
      <c r="Q1675" s="69"/>
      <c r="R1675" s="69"/>
      <c r="S1675" s="69"/>
      <c r="T1675" s="69"/>
      <c r="U1675" s="69"/>
      <c r="V1675" s="69"/>
      <c r="W1675" s="69"/>
    </row>
    <row r="1676" spans="7:23" x14ac:dyDescent="0.3">
      <c r="G1676" s="69"/>
      <c r="H1676" s="69"/>
      <c r="I1676" s="69"/>
      <c r="J1676" s="69"/>
      <c r="K1676" s="69"/>
      <c r="L1676" s="69"/>
      <c r="M1676" s="69"/>
      <c r="N1676" s="69"/>
      <c r="O1676" s="69"/>
      <c r="P1676" s="69"/>
      <c r="Q1676" s="69"/>
      <c r="R1676" s="69"/>
      <c r="S1676" s="69"/>
      <c r="T1676" s="69"/>
      <c r="U1676" s="69"/>
      <c r="V1676" s="69"/>
      <c r="W1676" s="69"/>
    </row>
    <row r="1677" spans="7:23" x14ac:dyDescent="0.3">
      <c r="G1677" s="69"/>
      <c r="H1677" s="69"/>
      <c r="I1677" s="69"/>
      <c r="J1677" s="69"/>
      <c r="K1677" s="69"/>
      <c r="L1677" s="69"/>
      <c r="M1677" s="69"/>
      <c r="N1677" s="69"/>
      <c r="O1677" s="69"/>
      <c r="P1677" s="69"/>
      <c r="Q1677" s="69"/>
      <c r="R1677" s="69"/>
      <c r="S1677" s="69"/>
      <c r="T1677" s="69"/>
      <c r="U1677" s="69"/>
      <c r="V1677" s="69"/>
      <c r="W1677" s="69"/>
    </row>
    <row r="1678" spans="7:23" x14ac:dyDescent="0.3">
      <c r="G1678" s="69"/>
      <c r="H1678" s="69"/>
      <c r="I1678" s="69"/>
      <c r="J1678" s="69"/>
      <c r="K1678" s="69"/>
      <c r="L1678" s="69"/>
      <c r="M1678" s="69"/>
      <c r="N1678" s="69"/>
      <c r="O1678" s="69"/>
      <c r="P1678" s="69"/>
      <c r="Q1678" s="69"/>
      <c r="R1678" s="69"/>
      <c r="S1678" s="69"/>
      <c r="T1678" s="69"/>
      <c r="U1678" s="69"/>
      <c r="V1678" s="69"/>
      <c r="W1678" s="69"/>
    </row>
    <row r="1679" spans="7:23" x14ac:dyDescent="0.3">
      <c r="G1679" s="69"/>
      <c r="H1679" s="69"/>
      <c r="I1679" s="69"/>
      <c r="J1679" s="69"/>
      <c r="K1679" s="69"/>
      <c r="L1679" s="69"/>
      <c r="M1679" s="69"/>
      <c r="N1679" s="69"/>
      <c r="O1679" s="69"/>
      <c r="P1679" s="69"/>
      <c r="Q1679" s="69"/>
      <c r="R1679" s="69"/>
      <c r="S1679" s="69"/>
      <c r="T1679" s="69"/>
      <c r="U1679" s="69"/>
      <c r="V1679" s="69"/>
      <c r="W1679" s="69"/>
    </row>
    <row r="1680" spans="7:23" x14ac:dyDescent="0.3">
      <c r="G1680" s="69"/>
      <c r="H1680" s="69"/>
      <c r="I1680" s="69"/>
      <c r="J1680" s="69"/>
      <c r="K1680" s="69"/>
      <c r="L1680" s="69"/>
      <c r="M1680" s="69"/>
      <c r="N1680" s="69"/>
      <c r="O1680" s="69"/>
      <c r="P1680" s="69"/>
      <c r="Q1680" s="69"/>
      <c r="R1680" s="69"/>
      <c r="S1680" s="69"/>
      <c r="T1680" s="69"/>
      <c r="U1680" s="69"/>
      <c r="V1680" s="69"/>
      <c r="W1680" s="69"/>
    </row>
    <row r="1681" spans="7:23" x14ac:dyDescent="0.3">
      <c r="G1681" s="69"/>
      <c r="H1681" s="69"/>
      <c r="I1681" s="69"/>
      <c r="J1681" s="69"/>
      <c r="K1681" s="69"/>
      <c r="L1681" s="69"/>
      <c r="M1681" s="69"/>
      <c r="N1681" s="69"/>
      <c r="O1681" s="69"/>
      <c r="P1681" s="69"/>
      <c r="Q1681" s="69"/>
      <c r="R1681" s="69"/>
      <c r="S1681" s="69"/>
      <c r="T1681" s="69"/>
      <c r="U1681" s="69"/>
      <c r="V1681" s="69"/>
      <c r="W1681" s="69"/>
    </row>
    <row r="1682" spans="7:23" x14ac:dyDescent="0.3">
      <c r="G1682" s="69"/>
      <c r="H1682" s="69"/>
      <c r="I1682" s="69"/>
      <c r="J1682" s="69"/>
      <c r="K1682" s="69"/>
      <c r="L1682" s="69"/>
      <c r="M1682" s="69"/>
      <c r="N1682" s="69"/>
      <c r="O1682" s="69"/>
      <c r="P1682" s="69"/>
      <c r="Q1682" s="69"/>
      <c r="R1682" s="69"/>
      <c r="S1682" s="69"/>
      <c r="T1682" s="69"/>
      <c r="U1682" s="69"/>
      <c r="V1682" s="69"/>
      <c r="W1682" s="69"/>
    </row>
    <row r="1683" spans="7:23" x14ac:dyDescent="0.3">
      <c r="G1683" s="69"/>
      <c r="H1683" s="69"/>
      <c r="I1683" s="69"/>
      <c r="J1683" s="69"/>
      <c r="K1683" s="69"/>
      <c r="L1683" s="69"/>
      <c r="M1683" s="69"/>
      <c r="N1683" s="69"/>
      <c r="O1683" s="69"/>
      <c r="P1683" s="69"/>
      <c r="Q1683" s="69"/>
      <c r="R1683" s="69"/>
      <c r="S1683" s="69"/>
      <c r="T1683" s="69"/>
      <c r="U1683" s="69"/>
      <c r="V1683" s="69"/>
      <c r="W1683" s="69"/>
    </row>
    <row r="1684" spans="7:23" x14ac:dyDescent="0.3">
      <c r="G1684" s="69"/>
      <c r="H1684" s="69"/>
      <c r="I1684" s="69"/>
      <c r="J1684" s="69"/>
      <c r="K1684" s="69"/>
      <c r="L1684" s="69"/>
      <c r="M1684" s="69"/>
      <c r="N1684" s="69"/>
      <c r="O1684" s="69"/>
      <c r="P1684" s="69"/>
      <c r="Q1684" s="69"/>
      <c r="R1684" s="69"/>
      <c r="S1684" s="69"/>
      <c r="T1684" s="69"/>
      <c r="U1684" s="69"/>
      <c r="V1684" s="69"/>
      <c r="W1684" s="69"/>
    </row>
    <row r="1685" spans="7:23" x14ac:dyDescent="0.3">
      <c r="G1685" s="69"/>
      <c r="H1685" s="69"/>
      <c r="I1685" s="69"/>
      <c r="J1685" s="69"/>
      <c r="K1685" s="69"/>
      <c r="L1685" s="69"/>
      <c r="M1685" s="69"/>
      <c r="N1685" s="69"/>
      <c r="O1685" s="69"/>
      <c r="P1685" s="69"/>
      <c r="Q1685" s="69"/>
      <c r="R1685" s="69"/>
      <c r="S1685" s="69"/>
      <c r="T1685" s="69"/>
      <c r="U1685" s="69"/>
      <c r="V1685" s="69"/>
      <c r="W1685" s="69"/>
    </row>
    <row r="1686" spans="7:23" x14ac:dyDescent="0.3">
      <c r="G1686" s="69"/>
      <c r="H1686" s="69"/>
      <c r="I1686" s="69"/>
      <c r="J1686" s="69"/>
      <c r="K1686" s="69"/>
      <c r="L1686" s="69"/>
      <c r="M1686" s="69"/>
      <c r="N1686" s="69"/>
      <c r="O1686" s="69"/>
      <c r="P1686" s="69"/>
      <c r="Q1686" s="69"/>
      <c r="R1686" s="69"/>
      <c r="S1686" s="69"/>
      <c r="T1686" s="69"/>
      <c r="U1686" s="69"/>
      <c r="V1686" s="69"/>
      <c r="W1686" s="69"/>
    </row>
    <row r="1687" spans="7:23" x14ac:dyDescent="0.3">
      <c r="G1687" s="69"/>
      <c r="H1687" s="69"/>
      <c r="I1687" s="69"/>
      <c r="J1687" s="69"/>
      <c r="K1687" s="69"/>
      <c r="L1687" s="69"/>
      <c r="M1687" s="69"/>
      <c r="N1687" s="69"/>
      <c r="O1687" s="69"/>
      <c r="P1687" s="69"/>
      <c r="Q1687" s="69"/>
      <c r="R1687" s="69"/>
      <c r="S1687" s="69"/>
      <c r="T1687" s="69"/>
      <c r="U1687" s="69"/>
      <c r="V1687" s="69"/>
      <c r="W1687" s="69"/>
    </row>
    <row r="1688" spans="7:23" x14ac:dyDescent="0.3">
      <c r="G1688" s="69"/>
      <c r="H1688" s="69"/>
      <c r="I1688" s="69"/>
      <c r="J1688" s="69"/>
      <c r="K1688" s="69"/>
      <c r="L1688" s="69"/>
      <c r="M1688" s="69"/>
      <c r="N1688" s="69"/>
      <c r="O1688" s="69"/>
      <c r="P1688" s="69"/>
      <c r="Q1688" s="69"/>
      <c r="R1688" s="69"/>
      <c r="S1688" s="69"/>
      <c r="T1688" s="69"/>
      <c r="U1688" s="69"/>
      <c r="V1688" s="69"/>
      <c r="W1688" s="69"/>
    </row>
    <row r="1689" spans="7:23" x14ac:dyDescent="0.3">
      <c r="G1689" s="69"/>
      <c r="H1689" s="69"/>
      <c r="I1689" s="69"/>
      <c r="J1689" s="69"/>
      <c r="K1689" s="69"/>
      <c r="L1689" s="69"/>
      <c r="M1689" s="69"/>
      <c r="N1689" s="69"/>
      <c r="O1689" s="69"/>
      <c r="P1689" s="69"/>
      <c r="Q1689" s="69"/>
      <c r="R1689" s="69"/>
      <c r="S1689" s="69"/>
      <c r="T1689" s="69"/>
      <c r="U1689" s="69"/>
      <c r="V1689" s="69"/>
      <c r="W1689" s="69"/>
    </row>
    <row r="1690" spans="7:23" x14ac:dyDescent="0.3">
      <c r="G1690" s="69"/>
      <c r="H1690" s="69"/>
      <c r="I1690" s="69"/>
      <c r="J1690" s="69"/>
      <c r="K1690" s="69"/>
      <c r="L1690" s="69"/>
      <c r="M1690" s="69"/>
      <c r="N1690" s="69"/>
      <c r="O1690" s="69"/>
      <c r="P1690" s="69"/>
      <c r="Q1690" s="69"/>
      <c r="R1690" s="69"/>
      <c r="S1690" s="69"/>
      <c r="T1690" s="69"/>
      <c r="U1690" s="69"/>
      <c r="V1690" s="69"/>
      <c r="W1690" s="69"/>
    </row>
    <row r="1691" spans="7:23" x14ac:dyDescent="0.3">
      <c r="G1691" s="69"/>
      <c r="H1691" s="69"/>
      <c r="I1691" s="69"/>
      <c r="J1691" s="69"/>
      <c r="K1691" s="69"/>
      <c r="L1691" s="69"/>
      <c r="M1691" s="69"/>
      <c r="N1691" s="69"/>
      <c r="O1691" s="69"/>
      <c r="P1691" s="69"/>
      <c r="Q1691" s="69"/>
      <c r="R1691" s="69"/>
      <c r="S1691" s="69"/>
      <c r="T1691" s="69"/>
      <c r="U1691" s="69"/>
      <c r="V1691" s="69"/>
      <c r="W1691" s="69"/>
    </row>
    <row r="1692" spans="7:23" x14ac:dyDescent="0.3">
      <c r="G1692" s="69"/>
      <c r="H1692" s="69"/>
      <c r="I1692" s="69"/>
      <c r="J1692" s="69"/>
      <c r="K1692" s="69"/>
      <c r="L1692" s="69"/>
      <c r="M1692" s="69"/>
      <c r="N1692" s="69"/>
      <c r="O1692" s="69"/>
      <c r="P1692" s="69"/>
      <c r="Q1692" s="69"/>
      <c r="R1692" s="69"/>
      <c r="S1692" s="69"/>
      <c r="T1692" s="69"/>
      <c r="U1692" s="69"/>
      <c r="V1692" s="69"/>
      <c r="W1692" s="69"/>
    </row>
    <row r="1693" spans="7:23" x14ac:dyDescent="0.3">
      <c r="G1693" s="69"/>
      <c r="H1693" s="69"/>
      <c r="I1693" s="69"/>
      <c r="J1693" s="69"/>
      <c r="K1693" s="69"/>
      <c r="L1693" s="69"/>
      <c r="M1693" s="69"/>
      <c r="N1693" s="69"/>
      <c r="O1693" s="69"/>
      <c r="P1693" s="69"/>
      <c r="Q1693" s="69"/>
      <c r="R1693" s="69"/>
      <c r="S1693" s="69"/>
      <c r="T1693" s="69"/>
      <c r="U1693" s="69"/>
      <c r="V1693" s="69"/>
      <c r="W1693" s="69"/>
    </row>
    <row r="1694" spans="7:23" x14ac:dyDescent="0.3">
      <c r="G1694" s="69"/>
      <c r="H1694" s="69"/>
      <c r="I1694" s="69"/>
      <c r="J1694" s="69"/>
      <c r="K1694" s="69"/>
      <c r="L1694" s="69"/>
      <c r="M1694" s="69"/>
      <c r="N1694" s="69"/>
      <c r="O1694" s="69"/>
      <c r="P1694" s="69"/>
      <c r="Q1694" s="69"/>
      <c r="R1694" s="69"/>
      <c r="S1694" s="69"/>
      <c r="T1694" s="69"/>
      <c r="U1694" s="69"/>
      <c r="V1694" s="69"/>
      <c r="W1694" s="69"/>
    </row>
    <row r="1695" spans="7:23" x14ac:dyDescent="0.3">
      <c r="G1695" s="69"/>
      <c r="H1695" s="69"/>
      <c r="I1695" s="69"/>
      <c r="J1695" s="69"/>
      <c r="K1695" s="69"/>
      <c r="L1695" s="69"/>
      <c r="M1695" s="69"/>
      <c r="N1695" s="69"/>
      <c r="O1695" s="69"/>
      <c r="P1695" s="69"/>
      <c r="Q1695" s="69"/>
      <c r="R1695" s="69"/>
      <c r="S1695" s="69"/>
      <c r="T1695" s="69"/>
      <c r="U1695" s="69"/>
      <c r="V1695" s="69"/>
      <c r="W1695" s="69"/>
    </row>
    <row r="1696" spans="7:23" x14ac:dyDescent="0.3">
      <c r="G1696" s="69"/>
      <c r="H1696" s="69"/>
      <c r="I1696" s="69"/>
      <c r="J1696" s="69"/>
      <c r="K1696" s="69"/>
      <c r="L1696" s="69"/>
      <c r="M1696" s="69"/>
      <c r="N1696" s="69"/>
      <c r="O1696" s="69"/>
      <c r="P1696" s="69"/>
      <c r="Q1696" s="69"/>
      <c r="R1696" s="69"/>
      <c r="S1696" s="69"/>
      <c r="T1696" s="69"/>
      <c r="U1696" s="69"/>
      <c r="V1696" s="69"/>
      <c r="W1696" s="69"/>
    </row>
    <row r="1697" spans="1:23" x14ac:dyDescent="0.3">
      <c r="G1697" s="69"/>
      <c r="H1697" s="69"/>
      <c r="I1697" s="69"/>
      <c r="J1697" s="69"/>
      <c r="K1697" s="69"/>
      <c r="L1697" s="69"/>
      <c r="M1697" s="69"/>
      <c r="N1697" s="69"/>
      <c r="O1697" s="69"/>
      <c r="P1697" s="69"/>
      <c r="Q1697" s="69"/>
      <c r="R1697" s="69"/>
      <c r="S1697" s="69"/>
      <c r="T1697" s="69"/>
      <c r="U1697" s="69"/>
      <c r="V1697" s="69"/>
      <c r="W1697" s="69"/>
    </row>
    <row r="1698" spans="1:23" x14ac:dyDescent="0.3">
      <c r="G1698" s="69"/>
      <c r="H1698" s="69"/>
      <c r="I1698" s="69"/>
      <c r="J1698" s="69"/>
      <c r="K1698" s="69"/>
      <c r="L1698" s="69"/>
      <c r="M1698" s="69"/>
      <c r="N1698" s="69"/>
      <c r="O1698" s="69"/>
      <c r="P1698" s="69"/>
      <c r="Q1698" s="69"/>
      <c r="R1698" s="69"/>
      <c r="S1698" s="69"/>
      <c r="T1698" s="69"/>
      <c r="U1698" s="69"/>
      <c r="V1698" s="69"/>
      <c r="W1698" s="69"/>
    </row>
    <row r="1699" spans="1:23" x14ac:dyDescent="0.3">
      <c r="G1699" s="69"/>
      <c r="H1699" s="69"/>
      <c r="I1699" s="69"/>
      <c r="J1699" s="69"/>
      <c r="K1699" s="69"/>
      <c r="L1699" s="69"/>
      <c r="M1699" s="69"/>
      <c r="N1699" s="69"/>
      <c r="O1699" s="69"/>
      <c r="P1699" s="69"/>
      <c r="Q1699" s="69"/>
      <c r="R1699" s="69"/>
      <c r="S1699" s="69"/>
      <c r="T1699" s="69"/>
      <c r="U1699" s="69"/>
      <c r="V1699" s="69"/>
      <c r="W1699" s="69"/>
    </row>
    <row r="1700" spans="1:23" ht="21" x14ac:dyDescent="0.4">
      <c r="A1700" s="48"/>
      <c r="G1700" s="69"/>
      <c r="H1700" s="69"/>
      <c r="I1700" s="69"/>
      <c r="J1700" s="69"/>
      <c r="K1700" s="69"/>
      <c r="L1700" s="69"/>
      <c r="M1700" s="69"/>
      <c r="N1700" s="69"/>
      <c r="O1700" s="69"/>
      <c r="P1700" s="69"/>
      <c r="Q1700" s="69"/>
      <c r="R1700" s="69"/>
      <c r="S1700" s="69"/>
      <c r="T1700" s="69"/>
      <c r="U1700" s="69"/>
      <c r="V1700" s="69"/>
      <c r="W1700" s="69"/>
    </row>
    <row r="1701" spans="1:23" x14ac:dyDescent="0.3">
      <c r="G1701" s="69"/>
      <c r="H1701" s="69"/>
      <c r="I1701" s="69"/>
      <c r="J1701" s="69"/>
      <c r="K1701" s="69"/>
      <c r="L1701" s="69"/>
      <c r="M1701" s="69"/>
      <c r="N1701" s="69"/>
      <c r="O1701" s="69"/>
      <c r="P1701" s="69"/>
      <c r="Q1701" s="69"/>
      <c r="R1701" s="69"/>
      <c r="S1701" s="69"/>
      <c r="T1701" s="69"/>
      <c r="U1701" s="69"/>
      <c r="V1701" s="69"/>
      <c r="W1701" s="69"/>
    </row>
    <row r="1702" spans="1:23" x14ac:dyDescent="0.3">
      <c r="G1702" s="69"/>
      <c r="H1702" s="69"/>
      <c r="I1702" s="69"/>
      <c r="J1702" s="69"/>
      <c r="K1702" s="69"/>
      <c r="L1702" s="69"/>
      <c r="M1702" s="69"/>
      <c r="N1702" s="69"/>
      <c r="O1702" s="69"/>
      <c r="P1702" s="69"/>
      <c r="Q1702" s="69"/>
      <c r="R1702" s="69"/>
      <c r="S1702" s="69"/>
      <c r="T1702" s="69"/>
      <c r="U1702" s="69"/>
      <c r="V1702" s="69"/>
      <c r="W1702" s="69"/>
    </row>
    <row r="1703" spans="1:23" x14ac:dyDescent="0.3">
      <c r="G1703" s="69"/>
      <c r="H1703" s="69"/>
      <c r="I1703" s="69"/>
      <c r="J1703" s="69"/>
      <c r="K1703" s="69"/>
      <c r="L1703" s="69"/>
      <c r="M1703" s="69"/>
      <c r="N1703" s="69"/>
      <c r="O1703" s="69"/>
      <c r="P1703" s="69"/>
      <c r="Q1703" s="69"/>
      <c r="R1703" s="69"/>
      <c r="S1703" s="69"/>
      <c r="T1703" s="69"/>
      <c r="U1703" s="69"/>
      <c r="V1703" s="69"/>
      <c r="W1703" s="69"/>
    </row>
    <row r="1704" spans="1:23" x14ac:dyDescent="0.3">
      <c r="G1704" s="69"/>
      <c r="H1704" s="69"/>
      <c r="I1704" s="69"/>
      <c r="J1704" s="69"/>
      <c r="K1704" s="69"/>
      <c r="L1704" s="69"/>
      <c r="M1704" s="69"/>
      <c r="N1704" s="69"/>
      <c r="O1704" s="69"/>
      <c r="P1704" s="69"/>
      <c r="Q1704" s="69"/>
      <c r="R1704" s="69"/>
      <c r="S1704" s="69"/>
      <c r="T1704" s="69"/>
      <c r="U1704" s="69"/>
      <c r="V1704" s="69"/>
      <c r="W1704" s="69"/>
    </row>
    <row r="1705" spans="1:23" x14ac:dyDescent="0.3">
      <c r="G1705" s="69"/>
      <c r="H1705" s="69"/>
      <c r="I1705" s="69"/>
      <c r="J1705" s="69"/>
      <c r="K1705" s="69"/>
      <c r="L1705" s="69"/>
      <c r="M1705" s="69"/>
      <c r="N1705" s="69"/>
      <c r="O1705" s="69"/>
      <c r="P1705" s="69"/>
      <c r="Q1705" s="69"/>
      <c r="R1705" s="69"/>
      <c r="S1705" s="69"/>
      <c r="T1705" s="69"/>
      <c r="U1705" s="69"/>
      <c r="V1705" s="69"/>
      <c r="W1705" s="69"/>
    </row>
    <row r="1706" spans="1:23" x14ac:dyDescent="0.3">
      <c r="G1706" s="69"/>
      <c r="H1706" s="69"/>
      <c r="I1706" s="69"/>
      <c r="J1706" s="69"/>
      <c r="K1706" s="69"/>
      <c r="L1706" s="69"/>
      <c r="M1706" s="69"/>
      <c r="N1706" s="69"/>
      <c r="O1706" s="69"/>
      <c r="P1706" s="69"/>
      <c r="Q1706" s="69"/>
      <c r="R1706" s="69"/>
      <c r="S1706" s="69"/>
      <c r="T1706" s="69"/>
      <c r="U1706" s="69"/>
      <c r="V1706" s="69"/>
      <c r="W1706" s="69"/>
    </row>
    <row r="1707" spans="1:23" x14ac:dyDescent="0.3">
      <c r="G1707" s="69"/>
      <c r="H1707" s="69"/>
      <c r="I1707" s="69"/>
      <c r="J1707" s="69"/>
      <c r="K1707" s="69"/>
      <c r="L1707" s="69"/>
      <c r="M1707" s="69"/>
      <c r="N1707" s="69"/>
      <c r="O1707" s="69"/>
      <c r="P1707" s="69"/>
      <c r="Q1707" s="69"/>
      <c r="R1707" s="69"/>
      <c r="S1707" s="69"/>
      <c r="T1707" s="69"/>
      <c r="U1707" s="69"/>
      <c r="V1707" s="69"/>
      <c r="W1707" s="69"/>
    </row>
    <row r="1708" spans="1:23" x14ac:dyDescent="0.3">
      <c r="G1708" s="69"/>
      <c r="H1708" s="69"/>
      <c r="I1708" s="69"/>
      <c r="J1708" s="69"/>
      <c r="K1708" s="69"/>
      <c r="L1708" s="69"/>
      <c r="M1708" s="69"/>
      <c r="N1708" s="69"/>
      <c r="O1708" s="69"/>
      <c r="P1708" s="69"/>
      <c r="Q1708" s="69"/>
      <c r="R1708" s="69"/>
      <c r="S1708" s="69"/>
      <c r="T1708" s="69"/>
      <c r="U1708" s="69"/>
      <c r="V1708" s="69"/>
      <c r="W1708" s="69"/>
    </row>
    <row r="1709" spans="1:23" x14ac:dyDescent="0.3">
      <c r="G1709" s="69"/>
      <c r="H1709" s="69"/>
      <c r="I1709" s="69"/>
      <c r="J1709" s="69"/>
      <c r="K1709" s="69"/>
      <c r="L1709" s="69"/>
      <c r="M1709" s="69"/>
      <c r="N1709" s="69"/>
      <c r="O1709" s="69"/>
      <c r="P1709" s="69"/>
      <c r="Q1709" s="69"/>
      <c r="R1709" s="69"/>
      <c r="S1709" s="69"/>
      <c r="T1709" s="69"/>
      <c r="U1709" s="69"/>
      <c r="V1709" s="69"/>
      <c r="W1709" s="69"/>
    </row>
    <row r="1710" spans="1:23" x14ac:dyDescent="0.3">
      <c r="G1710" s="69"/>
      <c r="H1710" s="69"/>
      <c r="I1710" s="69"/>
      <c r="J1710" s="69"/>
      <c r="K1710" s="69"/>
      <c r="L1710" s="69"/>
      <c r="M1710" s="69"/>
      <c r="N1710" s="69"/>
      <c r="O1710" s="69"/>
      <c r="P1710" s="69"/>
      <c r="Q1710" s="69"/>
      <c r="R1710" s="69"/>
      <c r="S1710" s="69"/>
      <c r="T1710" s="69"/>
      <c r="U1710" s="69"/>
      <c r="V1710" s="69"/>
      <c r="W1710" s="69"/>
    </row>
    <row r="1711" spans="1:23" x14ac:dyDescent="0.3">
      <c r="G1711" s="69"/>
      <c r="H1711" s="69"/>
      <c r="I1711" s="69"/>
      <c r="J1711" s="69"/>
      <c r="K1711" s="69"/>
      <c r="L1711" s="69"/>
      <c r="M1711" s="69"/>
      <c r="N1711" s="69"/>
      <c r="O1711" s="69"/>
      <c r="P1711" s="69"/>
      <c r="Q1711" s="69"/>
      <c r="R1711" s="69"/>
      <c r="S1711" s="69"/>
      <c r="T1711" s="69"/>
      <c r="U1711" s="69"/>
      <c r="V1711" s="69"/>
      <c r="W1711" s="69"/>
    </row>
    <row r="1712" spans="1:23" x14ac:dyDescent="0.3">
      <c r="G1712" s="69"/>
      <c r="H1712" s="69"/>
      <c r="I1712" s="69"/>
      <c r="J1712" s="69"/>
      <c r="K1712" s="69"/>
      <c r="L1712" s="69"/>
      <c r="M1712" s="69"/>
      <c r="N1712" s="69"/>
      <c r="O1712" s="69"/>
      <c r="P1712" s="69"/>
      <c r="Q1712" s="69"/>
      <c r="R1712" s="69"/>
      <c r="S1712" s="69"/>
      <c r="T1712" s="69"/>
      <c r="U1712" s="69"/>
      <c r="V1712" s="69"/>
      <c r="W1712" s="69"/>
    </row>
    <row r="1713" spans="7:23" x14ac:dyDescent="0.3">
      <c r="G1713" s="69"/>
      <c r="H1713" s="69"/>
      <c r="I1713" s="69"/>
      <c r="J1713" s="69"/>
      <c r="K1713" s="69"/>
      <c r="L1713" s="69"/>
      <c r="M1713" s="69"/>
      <c r="N1713" s="69"/>
      <c r="O1713" s="69"/>
      <c r="P1713" s="69"/>
      <c r="Q1713" s="69"/>
      <c r="R1713" s="69"/>
      <c r="S1713" s="69"/>
      <c r="T1713" s="69"/>
      <c r="U1713" s="69"/>
      <c r="V1713" s="69"/>
      <c r="W1713" s="69"/>
    </row>
    <row r="1714" spans="7:23" x14ac:dyDescent="0.3">
      <c r="G1714" s="69"/>
      <c r="H1714" s="69"/>
      <c r="I1714" s="69"/>
      <c r="J1714" s="69"/>
      <c r="K1714" s="69"/>
      <c r="L1714" s="69"/>
      <c r="M1714" s="69"/>
      <c r="N1714" s="69"/>
      <c r="O1714" s="69"/>
      <c r="P1714" s="69"/>
      <c r="Q1714" s="69"/>
      <c r="R1714" s="69"/>
      <c r="S1714" s="69"/>
      <c r="T1714" s="69"/>
      <c r="U1714" s="69"/>
      <c r="V1714" s="69"/>
      <c r="W1714" s="69"/>
    </row>
    <row r="1715" spans="7:23" x14ac:dyDescent="0.3">
      <c r="G1715" s="69"/>
      <c r="H1715" s="69"/>
      <c r="I1715" s="69"/>
      <c r="J1715" s="69"/>
      <c r="K1715" s="69"/>
      <c r="L1715" s="69"/>
      <c r="M1715" s="69"/>
      <c r="N1715" s="69"/>
      <c r="O1715" s="69"/>
      <c r="P1715" s="69"/>
      <c r="Q1715" s="69"/>
      <c r="R1715" s="69"/>
      <c r="S1715" s="69"/>
      <c r="T1715" s="69"/>
      <c r="U1715" s="69"/>
      <c r="V1715" s="69"/>
      <c r="W1715" s="69"/>
    </row>
    <row r="1716" spans="7:23" x14ac:dyDescent="0.3">
      <c r="G1716" s="69"/>
      <c r="H1716" s="69"/>
      <c r="I1716" s="69"/>
      <c r="J1716" s="69"/>
      <c r="K1716" s="69"/>
      <c r="L1716" s="69"/>
      <c r="M1716" s="69"/>
      <c r="N1716" s="69"/>
      <c r="O1716" s="69"/>
      <c r="P1716" s="69"/>
      <c r="Q1716" s="69"/>
      <c r="R1716" s="69"/>
      <c r="S1716" s="69"/>
      <c r="T1716" s="69"/>
      <c r="U1716" s="69"/>
      <c r="V1716" s="69"/>
      <c r="W1716" s="69"/>
    </row>
    <row r="1717" spans="7:23" x14ac:dyDescent="0.3">
      <c r="G1717" s="69"/>
      <c r="H1717" s="69"/>
      <c r="I1717" s="69"/>
      <c r="J1717" s="69"/>
      <c r="K1717" s="69"/>
      <c r="L1717" s="69"/>
      <c r="M1717" s="69"/>
      <c r="N1717" s="69"/>
      <c r="O1717" s="69"/>
      <c r="P1717" s="69"/>
      <c r="Q1717" s="69"/>
      <c r="R1717" s="69"/>
      <c r="S1717" s="69"/>
      <c r="T1717" s="69"/>
      <c r="U1717" s="69"/>
      <c r="V1717" s="69"/>
      <c r="W1717" s="69"/>
    </row>
    <row r="1718" spans="7:23" x14ac:dyDescent="0.3">
      <c r="G1718" s="69"/>
      <c r="H1718" s="69"/>
      <c r="I1718" s="69"/>
      <c r="J1718" s="69"/>
      <c r="K1718" s="69"/>
      <c r="L1718" s="69"/>
      <c r="M1718" s="69"/>
      <c r="N1718" s="69"/>
      <c r="O1718" s="69"/>
      <c r="P1718" s="69"/>
      <c r="Q1718" s="69"/>
      <c r="R1718" s="69"/>
      <c r="S1718" s="69"/>
      <c r="T1718" s="69"/>
      <c r="U1718" s="69"/>
      <c r="V1718" s="69"/>
      <c r="W1718" s="69"/>
    </row>
    <row r="1719" spans="7:23" x14ac:dyDescent="0.3">
      <c r="G1719" s="69"/>
      <c r="H1719" s="69"/>
      <c r="I1719" s="69"/>
      <c r="J1719" s="69"/>
      <c r="K1719" s="69"/>
      <c r="L1719" s="69"/>
      <c r="M1719" s="69"/>
      <c r="N1719" s="69"/>
      <c r="O1719" s="69"/>
      <c r="P1719" s="69"/>
      <c r="Q1719" s="69"/>
      <c r="R1719" s="69"/>
      <c r="S1719" s="69"/>
      <c r="T1719" s="69"/>
      <c r="U1719" s="69"/>
      <c r="V1719" s="69"/>
      <c r="W1719" s="69"/>
    </row>
    <row r="1720" spans="7:23" x14ac:dyDescent="0.3">
      <c r="G1720" s="69"/>
      <c r="H1720" s="69"/>
      <c r="I1720" s="69"/>
      <c r="J1720" s="69"/>
      <c r="K1720" s="69"/>
      <c r="L1720" s="69"/>
      <c r="M1720" s="69"/>
      <c r="N1720" s="69"/>
      <c r="O1720" s="69"/>
      <c r="P1720" s="69"/>
      <c r="Q1720" s="69"/>
      <c r="R1720" s="69"/>
      <c r="S1720" s="69"/>
      <c r="T1720" s="69"/>
      <c r="U1720" s="69"/>
      <c r="V1720" s="69"/>
      <c r="W1720" s="69"/>
    </row>
    <row r="1721" spans="7:23" x14ac:dyDescent="0.3">
      <c r="G1721" s="69"/>
      <c r="H1721" s="69"/>
      <c r="I1721" s="69"/>
      <c r="J1721" s="69"/>
      <c r="K1721" s="69"/>
      <c r="L1721" s="69"/>
      <c r="M1721" s="69"/>
      <c r="N1721" s="69"/>
      <c r="O1721" s="69"/>
      <c r="P1721" s="69"/>
      <c r="Q1721" s="69"/>
      <c r="R1721" s="69"/>
      <c r="S1721" s="69"/>
      <c r="T1721" s="69"/>
      <c r="U1721" s="69"/>
      <c r="V1721" s="69"/>
      <c r="W1721" s="69"/>
    </row>
    <row r="1722" spans="7:23" x14ac:dyDescent="0.3">
      <c r="G1722" s="69"/>
      <c r="H1722" s="69"/>
      <c r="I1722" s="69"/>
      <c r="J1722" s="69"/>
      <c r="K1722" s="69"/>
      <c r="L1722" s="69"/>
      <c r="M1722" s="69"/>
      <c r="N1722" s="69"/>
      <c r="O1722" s="69"/>
      <c r="P1722" s="69"/>
      <c r="Q1722" s="69"/>
      <c r="R1722" s="69"/>
      <c r="S1722" s="69"/>
      <c r="T1722" s="69"/>
      <c r="U1722" s="69"/>
      <c r="V1722" s="69"/>
      <c r="W1722" s="69"/>
    </row>
    <row r="1723" spans="7:23" x14ac:dyDescent="0.3">
      <c r="G1723" s="69"/>
      <c r="H1723" s="69"/>
      <c r="I1723" s="69"/>
      <c r="J1723" s="69"/>
      <c r="K1723" s="69"/>
      <c r="L1723" s="69"/>
      <c r="M1723" s="69"/>
      <c r="N1723" s="69"/>
      <c r="O1723" s="69"/>
      <c r="P1723" s="69"/>
      <c r="Q1723" s="69"/>
      <c r="R1723" s="69"/>
      <c r="S1723" s="69"/>
      <c r="T1723" s="69"/>
      <c r="U1723" s="69"/>
      <c r="V1723" s="69"/>
      <c r="W1723" s="69"/>
    </row>
    <row r="1724" spans="7:23" x14ac:dyDescent="0.3">
      <c r="G1724" s="69"/>
      <c r="H1724" s="69"/>
      <c r="I1724" s="69"/>
      <c r="J1724" s="69"/>
      <c r="K1724" s="69"/>
      <c r="L1724" s="69"/>
      <c r="M1724" s="69"/>
      <c r="N1724" s="69"/>
      <c r="O1724" s="69"/>
      <c r="P1724" s="69"/>
      <c r="Q1724" s="69"/>
      <c r="R1724" s="69"/>
      <c r="S1724" s="69"/>
      <c r="T1724" s="69"/>
      <c r="U1724" s="69"/>
      <c r="V1724" s="69"/>
      <c r="W1724" s="69"/>
    </row>
    <row r="1725" spans="7:23" x14ac:dyDescent="0.3">
      <c r="G1725" s="69"/>
      <c r="H1725" s="69"/>
      <c r="I1725" s="69"/>
      <c r="J1725" s="69"/>
      <c r="K1725" s="69"/>
      <c r="L1725" s="69"/>
      <c r="M1725" s="69"/>
      <c r="N1725" s="69"/>
      <c r="O1725" s="69"/>
      <c r="P1725" s="69"/>
      <c r="Q1725" s="69"/>
      <c r="R1725" s="69"/>
      <c r="S1725" s="69"/>
      <c r="T1725" s="69"/>
      <c r="U1725" s="69"/>
      <c r="V1725" s="69"/>
      <c r="W1725" s="69"/>
    </row>
    <row r="1726" spans="7:23" x14ac:dyDescent="0.3">
      <c r="G1726" s="69"/>
      <c r="H1726" s="69"/>
      <c r="I1726" s="69"/>
      <c r="J1726" s="69"/>
      <c r="K1726" s="69"/>
      <c r="L1726" s="69"/>
      <c r="M1726" s="69"/>
      <c r="N1726" s="69"/>
      <c r="O1726" s="69"/>
      <c r="P1726" s="69"/>
      <c r="Q1726" s="69"/>
      <c r="R1726" s="69"/>
      <c r="S1726" s="69"/>
      <c r="T1726" s="69"/>
      <c r="U1726" s="69"/>
      <c r="V1726" s="69"/>
      <c r="W1726" s="69"/>
    </row>
    <row r="1727" spans="7:23" x14ac:dyDescent="0.3">
      <c r="G1727" s="69"/>
      <c r="H1727" s="69"/>
      <c r="I1727" s="69"/>
      <c r="J1727" s="69"/>
      <c r="K1727" s="69"/>
      <c r="L1727" s="69"/>
      <c r="M1727" s="69"/>
      <c r="N1727" s="69"/>
      <c r="O1727" s="69"/>
      <c r="P1727" s="69"/>
      <c r="Q1727" s="69"/>
      <c r="R1727" s="69"/>
      <c r="S1727" s="69"/>
      <c r="T1727" s="69"/>
      <c r="U1727" s="69"/>
      <c r="V1727" s="69"/>
      <c r="W1727" s="69"/>
    </row>
    <row r="1728" spans="7:23" x14ac:dyDescent="0.3">
      <c r="G1728" s="69"/>
      <c r="H1728" s="69"/>
      <c r="I1728" s="69"/>
      <c r="J1728" s="69"/>
      <c r="K1728" s="69"/>
      <c r="L1728" s="69"/>
      <c r="M1728" s="69"/>
      <c r="N1728" s="69"/>
      <c r="O1728" s="69"/>
      <c r="P1728" s="69"/>
      <c r="Q1728" s="69"/>
      <c r="R1728" s="69"/>
      <c r="S1728" s="69"/>
      <c r="T1728" s="69"/>
      <c r="U1728" s="69"/>
      <c r="V1728" s="69"/>
      <c r="W1728" s="69"/>
    </row>
    <row r="1729" spans="7:23" x14ac:dyDescent="0.3">
      <c r="G1729" s="69"/>
      <c r="H1729" s="69"/>
      <c r="I1729" s="69"/>
      <c r="J1729" s="69"/>
      <c r="K1729" s="69"/>
      <c r="L1729" s="69"/>
      <c r="M1729" s="69"/>
      <c r="N1729" s="69"/>
      <c r="O1729" s="69"/>
      <c r="P1729" s="69"/>
      <c r="Q1729" s="69"/>
      <c r="R1729" s="69"/>
      <c r="S1729" s="69"/>
      <c r="T1729" s="69"/>
      <c r="U1729" s="69"/>
      <c r="V1729" s="69"/>
      <c r="W1729" s="69"/>
    </row>
    <row r="1730" spans="7:23" x14ac:dyDescent="0.3">
      <c r="G1730" s="69"/>
      <c r="H1730" s="69"/>
      <c r="I1730" s="69"/>
      <c r="J1730" s="69"/>
      <c r="K1730" s="69"/>
      <c r="L1730" s="69"/>
      <c r="M1730" s="69"/>
      <c r="N1730" s="69"/>
      <c r="O1730" s="69"/>
      <c r="P1730" s="69"/>
      <c r="Q1730" s="69"/>
      <c r="R1730" s="69"/>
      <c r="S1730" s="69"/>
      <c r="T1730" s="69"/>
      <c r="U1730" s="69"/>
      <c r="V1730" s="69"/>
      <c r="W1730" s="69"/>
    </row>
    <row r="1731" spans="7:23" x14ac:dyDescent="0.3">
      <c r="G1731" s="69"/>
      <c r="H1731" s="69"/>
      <c r="I1731" s="69"/>
      <c r="J1731" s="69"/>
      <c r="K1731" s="69"/>
      <c r="L1731" s="69"/>
      <c r="M1731" s="69"/>
      <c r="N1731" s="69"/>
      <c r="O1731" s="69"/>
      <c r="P1731" s="69"/>
      <c r="Q1731" s="69"/>
      <c r="R1731" s="69"/>
      <c r="S1731" s="69"/>
      <c r="T1731" s="69"/>
      <c r="U1731" s="69"/>
      <c r="V1731" s="69"/>
      <c r="W1731" s="69"/>
    </row>
    <row r="1732" spans="7:23" x14ac:dyDescent="0.3">
      <c r="G1732" s="69"/>
      <c r="H1732" s="69"/>
      <c r="I1732" s="69"/>
      <c r="J1732" s="69"/>
      <c r="K1732" s="69"/>
      <c r="L1732" s="69"/>
      <c r="M1732" s="69"/>
      <c r="N1732" s="69"/>
      <c r="O1732" s="69"/>
      <c r="P1732" s="69"/>
      <c r="Q1732" s="69"/>
      <c r="R1732" s="69"/>
      <c r="S1732" s="69"/>
      <c r="T1732" s="69"/>
      <c r="U1732" s="69"/>
      <c r="V1732" s="69"/>
      <c r="W1732" s="69"/>
    </row>
    <row r="1733" spans="7:23" x14ac:dyDescent="0.3">
      <c r="G1733" s="69"/>
      <c r="H1733" s="69"/>
      <c r="I1733" s="69"/>
      <c r="J1733" s="69"/>
      <c r="K1733" s="69"/>
      <c r="L1733" s="69"/>
      <c r="M1733" s="69"/>
      <c r="N1733" s="69"/>
      <c r="O1733" s="69"/>
      <c r="P1733" s="69"/>
      <c r="Q1733" s="69"/>
      <c r="R1733" s="69"/>
      <c r="S1733" s="69"/>
      <c r="T1733" s="69"/>
      <c r="U1733" s="69"/>
      <c r="V1733" s="69"/>
      <c r="W1733" s="69"/>
    </row>
    <row r="1734" spans="7:23" x14ac:dyDescent="0.3">
      <c r="G1734" s="69"/>
      <c r="H1734" s="69"/>
      <c r="I1734" s="69"/>
      <c r="J1734" s="69"/>
      <c r="K1734" s="69"/>
      <c r="L1734" s="69"/>
      <c r="M1734" s="69"/>
      <c r="N1734" s="69"/>
      <c r="O1734" s="69"/>
      <c r="P1734" s="69"/>
      <c r="Q1734" s="69"/>
      <c r="R1734" s="69"/>
      <c r="S1734" s="69"/>
      <c r="T1734" s="69"/>
      <c r="U1734" s="69"/>
      <c r="V1734" s="69"/>
      <c r="W1734" s="69"/>
    </row>
    <row r="1735" spans="7:23" x14ac:dyDescent="0.3">
      <c r="G1735" s="69"/>
      <c r="H1735" s="69"/>
      <c r="I1735" s="69"/>
      <c r="J1735" s="69"/>
      <c r="K1735" s="69"/>
      <c r="L1735" s="69"/>
      <c r="M1735" s="69"/>
      <c r="N1735" s="69"/>
      <c r="O1735" s="69"/>
      <c r="P1735" s="69"/>
      <c r="Q1735" s="69"/>
      <c r="R1735" s="69"/>
      <c r="S1735" s="69"/>
      <c r="T1735" s="69"/>
      <c r="U1735" s="69"/>
      <c r="V1735" s="69"/>
      <c r="W1735" s="69"/>
    </row>
    <row r="1736" spans="7:23" x14ac:dyDescent="0.3">
      <c r="G1736" s="69"/>
      <c r="H1736" s="69"/>
      <c r="I1736" s="69"/>
      <c r="J1736" s="69"/>
      <c r="K1736" s="69"/>
      <c r="L1736" s="69"/>
      <c r="M1736" s="69"/>
      <c r="N1736" s="69"/>
      <c r="O1736" s="69"/>
      <c r="P1736" s="69"/>
      <c r="Q1736" s="69"/>
      <c r="R1736" s="69"/>
      <c r="S1736" s="69"/>
      <c r="T1736" s="69"/>
      <c r="U1736" s="69"/>
      <c r="V1736" s="69"/>
      <c r="W1736" s="69"/>
    </row>
    <row r="1737" spans="7:23" x14ac:dyDescent="0.3">
      <c r="G1737" s="69"/>
      <c r="H1737" s="69"/>
      <c r="I1737" s="69"/>
      <c r="J1737" s="69"/>
      <c r="K1737" s="69"/>
      <c r="L1737" s="69"/>
      <c r="M1737" s="69"/>
      <c r="N1737" s="69"/>
      <c r="O1737" s="69"/>
      <c r="P1737" s="69"/>
      <c r="Q1737" s="69"/>
      <c r="R1737" s="69"/>
      <c r="S1737" s="69"/>
      <c r="T1737" s="69"/>
      <c r="U1737" s="69"/>
      <c r="V1737" s="69"/>
      <c r="W1737" s="69"/>
    </row>
    <row r="1738" spans="7:23" x14ac:dyDescent="0.3">
      <c r="G1738" s="69"/>
      <c r="H1738" s="69"/>
      <c r="I1738" s="69"/>
      <c r="J1738" s="69"/>
      <c r="K1738" s="69"/>
      <c r="L1738" s="69"/>
      <c r="M1738" s="69"/>
      <c r="N1738" s="69"/>
      <c r="O1738" s="69"/>
      <c r="P1738" s="69"/>
      <c r="Q1738" s="69"/>
      <c r="R1738" s="69"/>
      <c r="S1738" s="69"/>
      <c r="T1738" s="69"/>
      <c r="U1738" s="69"/>
      <c r="V1738" s="69"/>
      <c r="W1738" s="69"/>
    </row>
    <row r="1739" spans="7:23" x14ac:dyDescent="0.3">
      <c r="G1739" s="69"/>
      <c r="H1739" s="69"/>
      <c r="I1739" s="69"/>
      <c r="J1739" s="69"/>
      <c r="K1739" s="69"/>
      <c r="L1739" s="69"/>
      <c r="M1739" s="69"/>
      <c r="N1739" s="69"/>
      <c r="O1739" s="69"/>
      <c r="P1739" s="69"/>
      <c r="Q1739" s="69"/>
      <c r="R1739" s="69"/>
      <c r="S1739" s="69"/>
      <c r="T1739" s="69"/>
      <c r="U1739" s="69"/>
      <c r="V1739" s="69"/>
      <c r="W1739" s="69"/>
    </row>
    <row r="1740" spans="7:23" x14ac:dyDescent="0.3">
      <c r="G1740" s="69"/>
      <c r="H1740" s="69"/>
      <c r="I1740" s="69"/>
      <c r="J1740" s="69"/>
      <c r="K1740" s="69"/>
      <c r="L1740" s="69"/>
      <c r="M1740" s="69"/>
      <c r="N1740" s="69"/>
      <c r="O1740" s="69"/>
      <c r="P1740" s="69"/>
      <c r="Q1740" s="69"/>
      <c r="R1740" s="69"/>
      <c r="S1740" s="69"/>
      <c r="T1740" s="69"/>
      <c r="U1740" s="69"/>
      <c r="V1740" s="69"/>
      <c r="W1740" s="69"/>
    </row>
    <row r="1741" spans="7:23" x14ac:dyDescent="0.3">
      <c r="G1741" s="69"/>
      <c r="H1741" s="69"/>
      <c r="I1741" s="69"/>
      <c r="J1741" s="69"/>
      <c r="K1741" s="69"/>
      <c r="L1741" s="69"/>
      <c r="M1741" s="69"/>
      <c r="N1741" s="69"/>
      <c r="O1741" s="69"/>
      <c r="P1741" s="69"/>
      <c r="Q1741" s="69"/>
      <c r="R1741" s="69"/>
      <c r="S1741" s="69"/>
      <c r="T1741" s="69"/>
      <c r="U1741" s="69"/>
      <c r="V1741" s="69"/>
      <c r="W1741" s="69"/>
    </row>
    <row r="1742" spans="7:23" x14ac:dyDescent="0.3">
      <c r="G1742" s="69"/>
      <c r="H1742" s="69"/>
      <c r="I1742" s="69"/>
      <c r="J1742" s="69"/>
      <c r="K1742" s="69"/>
      <c r="L1742" s="69"/>
      <c r="M1742" s="69"/>
      <c r="N1742" s="69"/>
      <c r="O1742" s="69"/>
      <c r="P1742" s="69"/>
      <c r="Q1742" s="69"/>
      <c r="R1742" s="69"/>
      <c r="S1742" s="69"/>
      <c r="T1742" s="69"/>
      <c r="U1742" s="69"/>
      <c r="V1742" s="69"/>
      <c r="W1742" s="69"/>
    </row>
    <row r="1743" spans="7:23" x14ac:dyDescent="0.3">
      <c r="G1743" s="69"/>
      <c r="H1743" s="69"/>
      <c r="I1743" s="69"/>
      <c r="J1743" s="69"/>
      <c r="K1743" s="69"/>
      <c r="L1743" s="69"/>
      <c r="M1743" s="69"/>
      <c r="N1743" s="69"/>
      <c r="O1743" s="69"/>
      <c r="P1743" s="69"/>
      <c r="Q1743" s="69"/>
      <c r="R1743" s="69"/>
      <c r="S1743" s="69"/>
      <c r="T1743" s="69"/>
      <c r="U1743" s="69"/>
      <c r="V1743" s="69"/>
      <c r="W1743" s="69"/>
    </row>
    <row r="1744" spans="7:23" x14ac:dyDescent="0.3">
      <c r="G1744" s="69"/>
      <c r="H1744" s="69"/>
      <c r="I1744" s="69"/>
      <c r="J1744" s="69"/>
      <c r="K1744" s="69"/>
      <c r="L1744" s="69"/>
      <c r="M1744" s="69"/>
      <c r="N1744" s="69"/>
      <c r="O1744" s="69"/>
      <c r="P1744" s="69"/>
      <c r="Q1744" s="69"/>
      <c r="R1744" s="69"/>
      <c r="S1744" s="69"/>
      <c r="T1744" s="69"/>
      <c r="U1744" s="69"/>
      <c r="V1744" s="69"/>
      <c r="W1744" s="69"/>
    </row>
    <row r="1745" spans="7:23" x14ac:dyDescent="0.3">
      <c r="G1745" s="69"/>
      <c r="H1745" s="69"/>
      <c r="I1745" s="69"/>
      <c r="J1745" s="69"/>
      <c r="K1745" s="69"/>
      <c r="L1745" s="69"/>
      <c r="M1745" s="69"/>
      <c r="N1745" s="69"/>
      <c r="O1745" s="69"/>
      <c r="P1745" s="69"/>
      <c r="Q1745" s="69"/>
      <c r="R1745" s="69"/>
      <c r="S1745" s="69"/>
      <c r="T1745" s="69"/>
      <c r="U1745" s="69"/>
      <c r="V1745" s="69"/>
      <c r="W1745" s="69"/>
    </row>
    <row r="1746" spans="7:23" x14ac:dyDescent="0.3">
      <c r="G1746" s="69"/>
      <c r="H1746" s="69"/>
      <c r="I1746" s="69"/>
      <c r="J1746" s="69"/>
      <c r="K1746" s="69"/>
      <c r="L1746" s="69"/>
      <c r="M1746" s="69"/>
      <c r="N1746" s="69"/>
      <c r="O1746" s="69"/>
      <c r="P1746" s="69"/>
      <c r="Q1746" s="69"/>
      <c r="R1746" s="69"/>
      <c r="S1746" s="69"/>
      <c r="T1746" s="69"/>
      <c r="U1746" s="69"/>
      <c r="V1746" s="69"/>
      <c r="W1746" s="69"/>
    </row>
    <row r="1747" spans="7:23" x14ac:dyDescent="0.3">
      <c r="G1747" s="69"/>
      <c r="H1747" s="69"/>
      <c r="I1747" s="69"/>
      <c r="J1747" s="69"/>
      <c r="K1747" s="69"/>
      <c r="L1747" s="69"/>
      <c r="M1747" s="69"/>
      <c r="N1747" s="69"/>
      <c r="O1747" s="69"/>
      <c r="P1747" s="69"/>
      <c r="Q1747" s="69"/>
      <c r="R1747" s="69"/>
      <c r="S1747" s="69"/>
      <c r="T1747" s="69"/>
      <c r="U1747" s="69"/>
      <c r="V1747" s="69"/>
      <c r="W1747" s="69"/>
    </row>
    <row r="1748" spans="7:23" x14ac:dyDescent="0.3">
      <c r="G1748" s="69"/>
      <c r="H1748" s="69"/>
      <c r="I1748" s="69"/>
      <c r="J1748" s="69"/>
      <c r="K1748" s="69"/>
      <c r="L1748" s="69"/>
      <c r="M1748" s="69"/>
      <c r="N1748" s="69"/>
      <c r="O1748" s="69"/>
      <c r="P1748" s="69"/>
      <c r="Q1748" s="69"/>
      <c r="R1748" s="69"/>
      <c r="S1748" s="69"/>
      <c r="T1748" s="69"/>
      <c r="U1748" s="69"/>
      <c r="V1748" s="69"/>
      <c r="W1748" s="69"/>
    </row>
    <row r="1749" spans="7:23" x14ac:dyDescent="0.3">
      <c r="G1749" s="69"/>
      <c r="H1749" s="69"/>
      <c r="I1749" s="69"/>
      <c r="J1749" s="69"/>
      <c r="K1749" s="69"/>
      <c r="L1749" s="69"/>
      <c r="M1749" s="69"/>
      <c r="N1749" s="69"/>
      <c r="O1749" s="69"/>
      <c r="P1749" s="69"/>
      <c r="Q1749" s="69"/>
      <c r="R1749" s="69"/>
      <c r="S1749" s="69"/>
      <c r="T1749" s="69"/>
      <c r="U1749" s="69"/>
      <c r="V1749" s="69"/>
      <c r="W1749" s="69"/>
    </row>
    <row r="1750" spans="7:23" x14ac:dyDescent="0.3">
      <c r="G1750" s="69"/>
      <c r="H1750" s="69"/>
      <c r="I1750" s="69"/>
      <c r="J1750" s="69"/>
      <c r="K1750" s="69"/>
      <c r="L1750" s="69"/>
      <c r="M1750" s="69"/>
      <c r="N1750" s="69"/>
      <c r="O1750" s="69"/>
      <c r="P1750" s="69"/>
      <c r="Q1750" s="69"/>
      <c r="R1750" s="69"/>
      <c r="S1750" s="69"/>
      <c r="T1750" s="69"/>
      <c r="U1750" s="69"/>
      <c r="V1750" s="69"/>
      <c r="W1750" s="69"/>
    </row>
    <row r="1751" spans="7:23" x14ac:dyDescent="0.3">
      <c r="G1751" s="69"/>
      <c r="H1751" s="69"/>
      <c r="I1751" s="69"/>
      <c r="J1751" s="69"/>
      <c r="K1751" s="69"/>
      <c r="L1751" s="69"/>
      <c r="M1751" s="69"/>
      <c r="N1751" s="69"/>
      <c r="O1751" s="69"/>
      <c r="P1751" s="69"/>
      <c r="Q1751" s="69"/>
      <c r="R1751" s="69"/>
      <c r="S1751" s="69"/>
      <c r="T1751" s="69"/>
      <c r="U1751" s="69"/>
      <c r="V1751" s="69"/>
      <c r="W1751" s="69"/>
    </row>
    <row r="1752" spans="7:23" x14ac:dyDescent="0.3">
      <c r="G1752" s="69"/>
      <c r="H1752" s="69"/>
      <c r="I1752" s="69"/>
      <c r="J1752" s="69"/>
      <c r="K1752" s="69"/>
      <c r="L1752" s="69"/>
      <c r="M1752" s="69"/>
      <c r="N1752" s="69"/>
      <c r="O1752" s="69"/>
      <c r="P1752" s="69"/>
      <c r="Q1752" s="69"/>
      <c r="R1752" s="69"/>
      <c r="S1752" s="69"/>
      <c r="T1752" s="69"/>
      <c r="U1752" s="69"/>
      <c r="V1752" s="69"/>
      <c r="W1752" s="69"/>
    </row>
    <row r="1753" spans="7:23" x14ac:dyDescent="0.3">
      <c r="G1753" s="69"/>
      <c r="H1753" s="69"/>
      <c r="I1753" s="69"/>
      <c r="J1753" s="69"/>
      <c r="K1753" s="69"/>
      <c r="L1753" s="69"/>
      <c r="M1753" s="69"/>
      <c r="N1753" s="69"/>
      <c r="O1753" s="69"/>
      <c r="P1753" s="69"/>
      <c r="Q1753" s="69"/>
      <c r="R1753" s="69"/>
      <c r="S1753" s="69"/>
      <c r="T1753" s="69"/>
      <c r="U1753" s="69"/>
      <c r="V1753" s="69"/>
      <c r="W1753" s="69"/>
    </row>
    <row r="1754" spans="7:23" x14ac:dyDescent="0.3">
      <c r="G1754" s="69"/>
      <c r="H1754" s="69"/>
      <c r="I1754" s="69"/>
      <c r="J1754" s="69"/>
      <c r="K1754" s="69"/>
      <c r="L1754" s="69"/>
      <c r="M1754" s="69"/>
      <c r="N1754" s="69"/>
      <c r="O1754" s="69"/>
      <c r="P1754" s="69"/>
      <c r="Q1754" s="69"/>
      <c r="R1754" s="69"/>
      <c r="S1754" s="69"/>
      <c r="T1754" s="69"/>
      <c r="U1754" s="69"/>
      <c r="V1754" s="69"/>
      <c r="W1754" s="69"/>
    </row>
    <row r="1755" spans="7:23" x14ac:dyDescent="0.3">
      <c r="G1755" s="69"/>
      <c r="H1755" s="69"/>
      <c r="I1755" s="69"/>
      <c r="J1755" s="69"/>
      <c r="K1755" s="69"/>
      <c r="L1755" s="69"/>
      <c r="M1755" s="69"/>
      <c r="N1755" s="69"/>
      <c r="O1755" s="69"/>
      <c r="P1755" s="69"/>
      <c r="Q1755" s="69"/>
      <c r="R1755" s="69"/>
      <c r="S1755" s="69"/>
      <c r="T1755" s="69"/>
      <c r="U1755" s="69"/>
      <c r="V1755" s="69"/>
      <c r="W1755" s="69"/>
    </row>
    <row r="1756" spans="7:23" x14ac:dyDescent="0.3">
      <c r="G1756" s="69"/>
      <c r="H1756" s="69"/>
      <c r="I1756" s="69"/>
      <c r="J1756" s="69"/>
      <c r="K1756" s="69"/>
      <c r="L1756" s="69"/>
      <c r="M1756" s="69"/>
      <c r="N1756" s="69"/>
      <c r="O1756" s="69"/>
      <c r="P1756" s="69"/>
      <c r="Q1756" s="69"/>
      <c r="R1756" s="69"/>
      <c r="S1756" s="69"/>
      <c r="T1756" s="69"/>
      <c r="U1756" s="69"/>
      <c r="V1756" s="69"/>
      <c r="W1756" s="69"/>
    </row>
    <row r="1757" spans="7:23" x14ac:dyDescent="0.3">
      <c r="G1757" s="69"/>
      <c r="H1757" s="69"/>
      <c r="I1757" s="69"/>
      <c r="J1757" s="69"/>
      <c r="K1757" s="69"/>
      <c r="L1757" s="69"/>
      <c r="M1757" s="69"/>
      <c r="N1757" s="69"/>
      <c r="O1757" s="69"/>
      <c r="P1757" s="69"/>
      <c r="Q1757" s="69"/>
      <c r="R1757" s="69"/>
      <c r="S1757" s="69"/>
      <c r="T1757" s="69"/>
      <c r="U1757" s="69"/>
      <c r="V1757" s="69"/>
      <c r="W1757" s="69"/>
    </row>
    <row r="1758" spans="7:23" x14ac:dyDescent="0.3">
      <c r="G1758" s="69"/>
      <c r="H1758" s="69"/>
      <c r="I1758" s="69"/>
      <c r="J1758" s="69"/>
      <c r="K1758" s="69"/>
      <c r="L1758" s="69"/>
      <c r="M1758" s="69"/>
      <c r="N1758" s="69"/>
      <c r="O1758" s="69"/>
      <c r="P1758" s="69"/>
      <c r="Q1758" s="69"/>
      <c r="R1758" s="69"/>
      <c r="S1758" s="69"/>
      <c r="T1758" s="69"/>
      <c r="U1758" s="69"/>
      <c r="V1758" s="69"/>
      <c r="W1758" s="69"/>
    </row>
    <row r="1759" spans="7:23" x14ac:dyDescent="0.3">
      <c r="G1759" s="69"/>
      <c r="H1759" s="69"/>
      <c r="I1759" s="69"/>
      <c r="J1759" s="69"/>
      <c r="K1759" s="69"/>
      <c r="L1759" s="69"/>
      <c r="M1759" s="69"/>
      <c r="N1759" s="69"/>
      <c r="O1759" s="69"/>
      <c r="P1759" s="69"/>
      <c r="Q1759" s="69"/>
      <c r="R1759" s="69"/>
      <c r="S1759" s="69"/>
      <c r="T1759" s="69"/>
      <c r="U1759" s="69"/>
      <c r="V1759" s="69"/>
      <c r="W1759" s="69"/>
    </row>
    <row r="1760" spans="7:23" x14ac:dyDescent="0.3">
      <c r="G1760" s="69"/>
      <c r="H1760" s="69"/>
      <c r="I1760" s="69"/>
      <c r="J1760" s="69"/>
      <c r="K1760" s="69"/>
      <c r="L1760" s="69"/>
      <c r="M1760" s="69"/>
      <c r="N1760" s="69"/>
      <c r="O1760" s="69"/>
      <c r="P1760" s="69"/>
      <c r="Q1760" s="69"/>
      <c r="R1760" s="69"/>
      <c r="S1760" s="69"/>
      <c r="T1760" s="69"/>
      <c r="U1760" s="69"/>
      <c r="V1760" s="69"/>
      <c r="W1760" s="69"/>
    </row>
    <row r="1761" spans="7:23" x14ac:dyDescent="0.3">
      <c r="G1761" s="69"/>
      <c r="H1761" s="69"/>
      <c r="I1761" s="69"/>
      <c r="J1761" s="69"/>
      <c r="K1761" s="69"/>
      <c r="L1761" s="69"/>
      <c r="M1761" s="69"/>
      <c r="N1761" s="69"/>
      <c r="O1761" s="69"/>
      <c r="P1761" s="69"/>
      <c r="Q1761" s="69"/>
      <c r="R1761" s="69"/>
      <c r="S1761" s="69"/>
      <c r="T1761" s="69"/>
      <c r="U1761" s="69"/>
      <c r="V1761" s="69"/>
      <c r="W1761" s="69"/>
    </row>
    <row r="1762" spans="7:23" x14ac:dyDescent="0.3">
      <c r="G1762" s="69"/>
      <c r="H1762" s="69"/>
      <c r="I1762" s="69"/>
      <c r="J1762" s="69"/>
      <c r="K1762" s="69"/>
      <c r="L1762" s="69"/>
      <c r="M1762" s="69"/>
      <c r="N1762" s="69"/>
      <c r="O1762" s="69"/>
      <c r="P1762" s="69"/>
      <c r="Q1762" s="69"/>
      <c r="R1762" s="69"/>
      <c r="S1762" s="69"/>
      <c r="T1762" s="69"/>
      <c r="U1762" s="69"/>
      <c r="V1762" s="69"/>
      <c r="W1762" s="69"/>
    </row>
    <row r="1763" spans="7:23" x14ac:dyDescent="0.3">
      <c r="G1763" s="69"/>
      <c r="H1763" s="69"/>
      <c r="I1763" s="69"/>
      <c r="J1763" s="69"/>
      <c r="K1763" s="69"/>
      <c r="L1763" s="69"/>
      <c r="M1763" s="69"/>
      <c r="N1763" s="69"/>
      <c r="O1763" s="69"/>
      <c r="P1763" s="69"/>
      <c r="Q1763" s="69"/>
      <c r="R1763" s="69"/>
      <c r="S1763" s="69"/>
      <c r="T1763" s="69"/>
      <c r="U1763" s="69"/>
      <c r="V1763" s="69"/>
      <c r="W1763" s="69"/>
    </row>
    <row r="1764" spans="7:23" x14ac:dyDescent="0.3">
      <c r="G1764" s="69"/>
      <c r="H1764" s="69"/>
      <c r="I1764" s="69"/>
      <c r="J1764" s="69"/>
      <c r="K1764" s="69"/>
      <c r="L1764" s="69"/>
      <c r="M1764" s="69"/>
      <c r="N1764" s="69"/>
      <c r="O1764" s="69"/>
      <c r="P1764" s="69"/>
      <c r="Q1764" s="69"/>
      <c r="R1764" s="69"/>
      <c r="S1764" s="69"/>
      <c r="T1764" s="69"/>
      <c r="U1764" s="69"/>
      <c r="V1764" s="69"/>
      <c r="W1764" s="69"/>
    </row>
    <row r="1765" spans="7:23" x14ac:dyDescent="0.3">
      <c r="G1765" s="69"/>
      <c r="H1765" s="69"/>
      <c r="I1765" s="69"/>
      <c r="J1765" s="69"/>
      <c r="K1765" s="69"/>
      <c r="L1765" s="69"/>
      <c r="M1765" s="69"/>
      <c r="N1765" s="69"/>
      <c r="O1765" s="69"/>
      <c r="P1765" s="69"/>
      <c r="Q1765" s="69"/>
      <c r="R1765" s="69"/>
      <c r="S1765" s="69"/>
      <c r="T1765" s="69"/>
      <c r="U1765" s="69"/>
      <c r="V1765" s="69"/>
      <c r="W1765" s="69"/>
    </row>
    <row r="1766" spans="7:23" x14ac:dyDescent="0.3">
      <c r="G1766" s="69"/>
      <c r="H1766" s="69"/>
      <c r="I1766" s="69"/>
      <c r="J1766" s="69"/>
      <c r="K1766" s="69"/>
      <c r="L1766" s="69"/>
      <c r="M1766" s="69"/>
      <c r="N1766" s="69"/>
      <c r="O1766" s="69"/>
      <c r="P1766" s="69"/>
      <c r="Q1766" s="69"/>
      <c r="R1766" s="69"/>
      <c r="S1766" s="69"/>
      <c r="T1766" s="69"/>
      <c r="U1766" s="69"/>
      <c r="V1766" s="69"/>
      <c r="W1766" s="69"/>
    </row>
    <row r="1767" spans="7:23" x14ac:dyDescent="0.3">
      <c r="G1767" s="69"/>
      <c r="H1767" s="69"/>
      <c r="I1767" s="69"/>
      <c r="J1767" s="69"/>
      <c r="K1767" s="69"/>
      <c r="L1767" s="69"/>
      <c r="M1767" s="69"/>
      <c r="N1767" s="69"/>
      <c r="O1767" s="69"/>
      <c r="P1767" s="69"/>
      <c r="Q1767" s="69"/>
      <c r="R1767" s="69"/>
      <c r="S1767" s="69"/>
      <c r="T1767" s="69"/>
      <c r="U1767" s="69"/>
      <c r="V1767" s="69"/>
      <c r="W1767" s="69"/>
    </row>
    <row r="1768" spans="7:23" x14ac:dyDescent="0.3">
      <c r="G1768" s="69"/>
      <c r="H1768" s="69"/>
      <c r="I1768" s="69"/>
      <c r="J1768" s="69"/>
      <c r="K1768" s="69"/>
      <c r="L1768" s="69"/>
      <c r="M1768" s="69"/>
      <c r="N1768" s="69"/>
      <c r="O1768" s="69"/>
      <c r="P1768" s="69"/>
      <c r="Q1768" s="69"/>
      <c r="R1768" s="69"/>
      <c r="S1768" s="69"/>
      <c r="T1768" s="69"/>
      <c r="U1768" s="69"/>
      <c r="V1768" s="69"/>
      <c r="W1768" s="69"/>
    </row>
    <row r="1769" spans="7:23" x14ac:dyDescent="0.3">
      <c r="G1769" s="69"/>
      <c r="H1769" s="69"/>
      <c r="I1769" s="69"/>
      <c r="J1769" s="69"/>
      <c r="K1769" s="69"/>
      <c r="L1769" s="69"/>
      <c r="M1769" s="69"/>
      <c r="N1769" s="69"/>
      <c r="O1769" s="69"/>
      <c r="P1769" s="69"/>
      <c r="Q1769" s="69"/>
      <c r="R1769" s="69"/>
      <c r="S1769" s="69"/>
      <c r="T1769" s="69"/>
      <c r="U1769" s="69"/>
      <c r="V1769" s="69"/>
      <c r="W1769" s="69"/>
    </row>
    <row r="1770" spans="7:23" x14ac:dyDescent="0.3">
      <c r="G1770" s="69"/>
      <c r="H1770" s="69"/>
      <c r="I1770" s="69"/>
      <c r="J1770" s="69"/>
      <c r="K1770" s="69"/>
      <c r="L1770" s="69"/>
      <c r="M1770" s="69"/>
      <c r="N1770" s="69"/>
      <c r="O1770" s="69"/>
      <c r="P1770" s="69"/>
      <c r="Q1770" s="69"/>
      <c r="R1770" s="69"/>
      <c r="S1770" s="69"/>
      <c r="T1770" s="69"/>
      <c r="U1770" s="69"/>
      <c r="V1770" s="69"/>
      <c r="W1770" s="69"/>
    </row>
    <row r="1771" spans="7:23" x14ac:dyDescent="0.3">
      <c r="G1771" s="69"/>
      <c r="H1771" s="69"/>
      <c r="I1771" s="69"/>
      <c r="J1771" s="69"/>
      <c r="K1771" s="69"/>
      <c r="L1771" s="69"/>
      <c r="M1771" s="69"/>
      <c r="N1771" s="69"/>
      <c r="O1771" s="69"/>
      <c r="P1771" s="69"/>
      <c r="Q1771" s="69"/>
      <c r="R1771" s="69"/>
      <c r="S1771" s="69"/>
      <c r="T1771" s="69"/>
      <c r="U1771" s="69"/>
      <c r="V1771" s="69"/>
      <c r="W1771" s="69"/>
    </row>
    <row r="1772" spans="7:23" x14ac:dyDescent="0.3">
      <c r="G1772" s="69"/>
      <c r="H1772" s="69"/>
      <c r="I1772" s="69"/>
      <c r="J1772" s="69"/>
      <c r="K1772" s="69"/>
      <c r="L1772" s="69"/>
      <c r="M1772" s="69"/>
      <c r="N1772" s="69"/>
      <c r="O1772" s="69"/>
      <c r="P1772" s="69"/>
      <c r="Q1772" s="69"/>
      <c r="R1772" s="69"/>
      <c r="S1772" s="69"/>
      <c r="T1772" s="69"/>
      <c r="U1772" s="69"/>
      <c r="V1772" s="69"/>
      <c r="W1772" s="69"/>
    </row>
    <row r="1773" spans="7:23" x14ac:dyDescent="0.3">
      <c r="G1773" s="69"/>
      <c r="H1773" s="69"/>
      <c r="I1773" s="69"/>
      <c r="J1773" s="69"/>
      <c r="K1773" s="69"/>
      <c r="L1773" s="69"/>
      <c r="M1773" s="69"/>
      <c r="N1773" s="69"/>
      <c r="O1773" s="69"/>
      <c r="P1773" s="69"/>
      <c r="Q1773" s="69"/>
      <c r="R1773" s="69"/>
      <c r="S1773" s="69"/>
      <c r="T1773" s="69"/>
      <c r="U1773" s="69"/>
      <c r="V1773" s="69"/>
      <c r="W1773" s="69"/>
    </row>
    <row r="1774" spans="7:23" x14ac:dyDescent="0.3">
      <c r="G1774" s="69"/>
      <c r="H1774" s="69"/>
      <c r="I1774" s="69"/>
      <c r="J1774" s="69"/>
      <c r="K1774" s="69"/>
      <c r="L1774" s="69"/>
      <c r="M1774" s="69"/>
      <c r="N1774" s="69"/>
      <c r="O1774" s="69"/>
      <c r="P1774" s="69"/>
      <c r="Q1774" s="69"/>
      <c r="R1774" s="69"/>
      <c r="S1774" s="69"/>
      <c r="T1774" s="69"/>
      <c r="U1774" s="69"/>
      <c r="V1774" s="69"/>
      <c r="W1774" s="69"/>
    </row>
    <row r="1775" spans="7:23" x14ac:dyDescent="0.3">
      <c r="G1775" s="69"/>
      <c r="H1775" s="69"/>
      <c r="I1775" s="69"/>
      <c r="J1775" s="69"/>
      <c r="K1775" s="69"/>
      <c r="L1775" s="69"/>
      <c r="M1775" s="69"/>
      <c r="N1775" s="69"/>
      <c r="O1775" s="69"/>
      <c r="P1775" s="69"/>
      <c r="Q1775" s="69"/>
      <c r="R1775" s="69"/>
      <c r="S1775" s="69"/>
      <c r="T1775" s="69"/>
      <c r="U1775" s="69"/>
      <c r="V1775" s="69"/>
      <c r="W1775" s="69"/>
    </row>
    <row r="1776" spans="7:23" x14ac:dyDescent="0.3">
      <c r="G1776" s="69"/>
      <c r="H1776" s="69"/>
      <c r="I1776" s="69"/>
      <c r="J1776" s="69"/>
      <c r="K1776" s="69"/>
      <c r="L1776" s="69"/>
      <c r="M1776" s="69"/>
      <c r="N1776" s="69"/>
      <c r="O1776" s="69"/>
      <c r="P1776" s="69"/>
      <c r="Q1776" s="69"/>
      <c r="R1776" s="69"/>
      <c r="S1776" s="69"/>
      <c r="T1776" s="69"/>
      <c r="U1776" s="69"/>
      <c r="V1776" s="69"/>
      <c r="W1776" s="69"/>
    </row>
    <row r="1777" spans="1:23" x14ac:dyDescent="0.3">
      <c r="G1777" s="69"/>
      <c r="H1777" s="69"/>
      <c r="I1777" s="69"/>
      <c r="J1777" s="69"/>
      <c r="K1777" s="69"/>
      <c r="L1777" s="69"/>
      <c r="M1777" s="69"/>
      <c r="N1777" s="69"/>
      <c r="O1777" s="69"/>
      <c r="P1777" s="69"/>
      <c r="Q1777" s="69"/>
      <c r="R1777" s="69"/>
      <c r="S1777" s="69"/>
      <c r="T1777" s="69"/>
      <c r="U1777" s="69"/>
      <c r="V1777" s="69"/>
      <c r="W1777" s="69"/>
    </row>
    <row r="1778" spans="1:23" x14ac:dyDescent="0.3">
      <c r="G1778" s="69"/>
      <c r="H1778" s="69"/>
      <c r="I1778" s="69"/>
      <c r="J1778" s="69"/>
      <c r="K1778" s="69"/>
      <c r="L1778" s="69"/>
      <c r="M1778" s="69"/>
      <c r="N1778" s="69"/>
      <c r="O1778" s="69"/>
      <c r="P1778" s="69"/>
      <c r="Q1778" s="69"/>
      <c r="R1778" s="69"/>
      <c r="S1778" s="69"/>
      <c r="T1778" s="69"/>
      <c r="U1778" s="69"/>
      <c r="V1778" s="69"/>
      <c r="W1778" s="69"/>
    </row>
    <row r="1779" spans="1:23" x14ac:dyDescent="0.3">
      <c r="G1779" s="69"/>
      <c r="H1779" s="69"/>
      <c r="I1779" s="69"/>
      <c r="J1779" s="69"/>
      <c r="K1779" s="69"/>
      <c r="L1779" s="69"/>
      <c r="M1779" s="69"/>
      <c r="N1779" s="69"/>
      <c r="O1779" s="69"/>
      <c r="P1779" s="69"/>
      <c r="Q1779" s="69"/>
      <c r="R1779" s="69"/>
      <c r="S1779" s="69"/>
      <c r="T1779" s="69"/>
      <c r="U1779" s="69"/>
      <c r="V1779" s="69"/>
      <c r="W1779" s="69"/>
    </row>
    <row r="1780" spans="1:23" ht="21" x14ac:dyDescent="0.4">
      <c r="A1780" s="48"/>
      <c r="G1780" s="69"/>
      <c r="H1780" s="69"/>
      <c r="I1780" s="69"/>
      <c r="J1780" s="69"/>
      <c r="K1780" s="69"/>
      <c r="L1780" s="69"/>
      <c r="M1780" s="69"/>
      <c r="N1780" s="69"/>
      <c r="O1780" s="69"/>
      <c r="P1780" s="69"/>
      <c r="Q1780" s="69"/>
      <c r="R1780" s="69"/>
      <c r="S1780" s="69"/>
      <c r="T1780" s="69"/>
      <c r="U1780" s="69"/>
      <c r="V1780" s="69"/>
      <c r="W1780" s="69"/>
    </row>
    <row r="1781" spans="1:23" x14ac:dyDescent="0.3">
      <c r="G1781" s="69"/>
      <c r="H1781" s="69"/>
      <c r="I1781" s="69"/>
      <c r="J1781" s="69"/>
      <c r="K1781" s="69"/>
      <c r="L1781" s="69"/>
      <c r="M1781" s="69"/>
      <c r="N1781" s="69"/>
      <c r="O1781" s="69"/>
      <c r="P1781" s="69"/>
      <c r="Q1781" s="69"/>
      <c r="R1781" s="69"/>
      <c r="S1781" s="69"/>
      <c r="T1781" s="69"/>
      <c r="U1781" s="69"/>
      <c r="V1781" s="69"/>
      <c r="W1781" s="69"/>
    </row>
    <row r="1782" spans="1:23" x14ac:dyDescent="0.3">
      <c r="G1782" s="69"/>
      <c r="H1782" s="69"/>
      <c r="I1782" s="69"/>
      <c r="J1782" s="69"/>
      <c r="K1782" s="69"/>
      <c r="L1782" s="69"/>
      <c r="M1782" s="69"/>
      <c r="N1782" s="69"/>
      <c r="O1782" s="69"/>
      <c r="P1782" s="69"/>
      <c r="Q1782" s="69"/>
      <c r="R1782" s="69"/>
      <c r="S1782" s="69"/>
      <c r="T1782" s="69"/>
      <c r="U1782" s="69"/>
      <c r="V1782" s="69"/>
      <c r="W1782" s="69"/>
    </row>
    <row r="1783" spans="1:23" x14ac:dyDescent="0.3">
      <c r="G1783" s="69"/>
      <c r="H1783" s="69"/>
      <c r="I1783" s="69"/>
      <c r="J1783" s="69"/>
      <c r="K1783" s="69"/>
      <c r="L1783" s="69"/>
      <c r="M1783" s="69"/>
      <c r="N1783" s="69"/>
      <c r="O1783" s="69"/>
      <c r="P1783" s="69"/>
      <c r="Q1783" s="69"/>
      <c r="R1783" s="69"/>
      <c r="S1783" s="69"/>
      <c r="T1783" s="69"/>
      <c r="U1783" s="69"/>
      <c r="V1783" s="69"/>
      <c r="W1783" s="69"/>
    </row>
    <row r="1784" spans="1:23" x14ac:dyDescent="0.3">
      <c r="G1784" s="69"/>
      <c r="H1784" s="69"/>
      <c r="I1784" s="69"/>
      <c r="J1784" s="69"/>
      <c r="K1784" s="69"/>
      <c r="L1784" s="69"/>
      <c r="M1784" s="69"/>
      <c r="N1784" s="69"/>
      <c r="O1784" s="69"/>
      <c r="P1784" s="69"/>
      <c r="Q1784" s="69"/>
      <c r="R1784" s="69"/>
      <c r="S1784" s="69"/>
      <c r="T1784" s="69"/>
      <c r="U1784" s="69"/>
      <c r="V1784" s="69"/>
      <c r="W1784" s="69"/>
    </row>
    <row r="1785" spans="1:23" x14ac:dyDescent="0.3">
      <c r="G1785" s="69"/>
      <c r="H1785" s="69"/>
      <c r="I1785" s="69"/>
      <c r="J1785" s="69"/>
      <c r="K1785" s="69"/>
      <c r="L1785" s="69"/>
      <c r="M1785" s="69"/>
      <c r="N1785" s="69"/>
      <c r="O1785" s="69"/>
      <c r="P1785" s="69"/>
      <c r="Q1785" s="69"/>
      <c r="R1785" s="69"/>
      <c r="S1785" s="69"/>
      <c r="T1785" s="69"/>
      <c r="U1785" s="69"/>
      <c r="V1785" s="69"/>
      <c r="W1785" s="69"/>
    </row>
    <row r="1786" spans="1:23" x14ac:dyDescent="0.3">
      <c r="G1786" s="69"/>
      <c r="H1786" s="69"/>
      <c r="I1786" s="69"/>
      <c r="J1786" s="69"/>
      <c r="K1786" s="69"/>
      <c r="L1786" s="69"/>
      <c r="M1786" s="69"/>
      <c r="N1786" s="69"/>
      <c r="O1786" s="69"/>
      <c r="P1786" s="69"/>
      <c r="Q1786" s="69"/>
      <c r="R1786" s="69"/>
      <c r="S1786" s="69"/>
      <c r="T1786" s="69"/>
      <c r="U1786" s="69"/>
      <c r="V1786" s="69"/>
      <c r="W1786" s="69"/>
    </row>
    <row r="1787" spans="1:23" x14ac:dyDescent="0.3">
      <c r="G1787" s="69"/>
      <c r="H1787" s="69"/>
      <c r="I1787" s="69"/>
      <c r="J1787" s="69"/>
      <c r="K1787" s="69"/>
      <c r="L1787" s="69"/>
      <c r="M1787" s="69"/>
      <c r="N1787" s="69"/>
      <c r="O1787" s="69"/>
      <c r="P1787" s="69"/>
      <c r="Q1787" s="69"/>
      <c r="R1787" s="69"/>
      <c r="S1787" s="69"/>
      <c r="T1787" s="69"/>
      <c r="U1787" s="69"/>
      <c r="V1787" s="69"/>
      <c r="W1787" s="69"/>
    </row>
    <row r="1788" spans="1:23" x14ac:dyDescent="0.3">
      <c r="G1788" s="69"/>
      <c r="H1788" s="69"/>
      <c r="I1788" s="69"/>
      <c r="J1788" s="69"/>
      <c r="K1788" s="69"/>
      <c r="L1788" s="69"/>
      <c r="M1788" s="69"/>
      <c r="N1788" s="69"/>
      <c r="O1788" s="69"/>
      <c r="P1788" s="69"/>
      <c r="Q1788" s="69"/>
      <c r="R1788" s="69"/>
      <c r="S1788" s="69"/>
      <c r="T1788" s="69"/>
      <c r="U1788" s="69"/>
      <c r="V1788" s="69"/>
      <c r="W1788" s="69"/>
    </row>
    <row r="1789" spans="1:23" x14ac:dyDescent="0.3">
      <c r="G1789" s="69"/>
      <c r="H1789" s="69"/>
      <c r="I1789" s="69"/>
      <c r="J1789" s="69"/>
      <c r="K1789" s="69"/>
      <c r="L1789" s="69"/>
      <c r="M1789" s="69"/>
      <c r="N1789" s="69"/>
      <c r="O1789" s="69"/>
      <c r="P1789" s="69"/>
      <c r="Q1789" s="69"/>
      <c r="R1789" s="69"/>
      <c r="S1789" s="69"/>
      <c r="T1789" s="69"/>
      <c r="U1789" s="69"/>
      <c r="V1789" s="69"/>
      <c r="W1789" s="69"/>
    </row>
    <row r="1790" spans="1:23" x14ac:dyDescent="0.3">
      <c r="G1790" s="69"/>
      <c r="H1790" s="69"/>
      <c r="I1790" s="69"/>
      <c r="J1790" s="69"/>
      <c r="K1790" s="69"/>
      <c r="L1790" s="69"/>
      <c r="M1790" s="69"/>
      <c r="N1790" s="69"/>
      <c r="O1790" s="69"/>
      <c r="P1790" s="69"/>
      <c r="Q1790" s="69"/>
      <c r="R1790" s="69"/>
      <c r="S1790" s="69"/>
      <c r="T1790" s="69"/>
      <c r="U1790" s="69"/>
      <c r="V1790" s="69"/>
      <c r="W1790" s="69"/>
    </row>
    <row r="1791" spans="1:23" x14ac:dyDescent="0.3">
      <c r="G1791" s="69"/>
      <c r="H1791" s="69"/>
      <c r="I1791" s="69"/>
      <c r="J1791" s="69"/>
      <c r="K1791" s="69"/>
      <c r="L1791" s="69"/>
      <c r="M1791" s="69"/>
      <c r="N1791" s="69"/>
      <c r="O1791" s="69"/>
      <c r="P1791" s="69"/>
      <c r="Q1791" s="69"/>
      <c r="R1791" s="69"/>
      <c r="S1791" s="69"/>
      <c r="T1791" s="69"/>
      <c r="U1791" s="69"/>
      <c r="V1791" s="69"/>
      <c r="W1791" s="69"/>
    </row>
    <row r="1792" spans="1:23" x14ac:dyDescent="0.3">
      <c r="G1792" s="69"/>
      <c r="H1792" s="69"/>
      <c r="I1792" s="69"/>
      <c r="J1792" s="69"/>
      <c r="K1792" s="69"/>
      <c r="L1792" s="69"/>
      <c r="M1792" s="69"/>
      <c r="N1792" s="69"/>
      <c r="O1792" s="69"/>
      <c r="P1792" s="69"/>
      <c r="Q1792" s="69"/>
      <c r="R1792" s="69"/>
      <c r="S1792" s="69"/>
      <c r="T1792" s="69"/>
      <c r="U1792" s="69"/>
      <c r="V1792" s="69"/>
      <c r="W1792" s="69"/>
    </row>
    <row r="1793" spans="7:23" x14ac:dyDescent="0.3">
      <c r="G1793" s="69"/>
      <c r="H1793" s="69"/>
      <c r="I1793" s="69"/>
      <c r="J1793" s="69"/>
      <c r="K1793" s="69"/>
      <c r="L1793" s="69"/>
      <c r="M1793" s="69"/>
      <c r="N1793" s="69"/>
      <c r="O1793" s="69"/>
      <c r="P1793" s="69"/>
      <c r="Q1793" s="69"/>
      <c r="R1793" s="69"/>
      <c r="S1793" s="69"/>
      <c r="T1793" s="69"/>
      <c r="U1793" s="69"/>
      <c r="V1793" s="69"/>
      <c r="W1793" s="69"/>
    </row>
    <row r="1794" spans="7:23" x14ac:dyDescent="0.3">
      <c r="G1794" s="69"/>
      <c r="H1794" s="69"/>
      <c r="I1794" s="69"/>
      <c r="J1794" s="69"/>
      <c r="K1794" s="69"/>
      <c r="L1794" s="69"/>
      <c r="M1794" s="69"/>
      <c r="N1794" s="69"/>
      <c r="O1794" s="69"/>
      <c r="P1794" s="69"/>
      <c r="Q1794" s="69"/>
      <c r="R1794" s="69"/>
      <c r="S1794" s="69"/>
      <c r="T1794" s="69"/>
      <c r="U1794" s="69"/>
      <c r="V1794" s="69"/>
      <c r="W1794" s="69"/>
    </row>
    <row r="1795" spans="7:23" x14ac:dyDescent="0.3">
      <c r="G1795" s="69"/>
      <c r="H1795" s="69"/>
      <c r="I1795" s="69"/>
      <c r="J1795" s="69"/>
      <c r="K1795" s="69"/>
      <c r="L1795" s="69"/>
      <c r="M1795" s="69"/>
      <c r="N1795" s="69"/>
      <c r="O1795" s="69"/>
      <c r="P1795" s="69"/>
      <c r="Q1795" s="69"/>
      <c r="R1795" s="69"/>
      <c r="S1795" s="69"/>
      <c r="T1795" s="69"/>
      <c r="U1795" s="69"/>
      <c r="V1795" s="69"/>
      <c r="W1795" s="69"/>
    </row>
    <row r="1796" spans="7:23" x14ac:dyDescent="0.3">
      <c r="G1796" s="69"/>
      <c r="H1796" s="69"/>
      <c r="I1796" s="69"/>
      <c r="J1796" s="69"/>
      <c r="K1796" s="69"/>
      <c r="L1796" s="69"/>
      <c r="M1796" s="69"/>
      <c r="N1796" s="69"/>
      <c r="O1796" s="69"/>
      <c r="P1796" s="69"/>
      <c r="Q1796" s="69"/>
      <c r="R1796" s="69"/>
      <c r="S1796" s="69"/>
      <c r="T1796" s="69"/>
      <c r="U1796" s="69"/>
      <c r="V1796" s="69"/>
      <c r="W1796" s="69"/>
    </row>
    <row r="1797" spans="7:23" x14ac:dyDescent="0.3">
      <c r="G1797" s="69"/>
      <c r="H1797" s="69"/>
      <c r="I1797" s="69"/>
      <c r="J1797" s="69"/>
      <c r="K1797" s="69"/>
      <c r="L1797" s="69"/>
      <c r="M1797" s="69"/>
      <c r="N1797" s="69"/>
      <c r="O1797" s="69"/>
      <c r="P1797" s="69"/>
      <c r="Q1797" s="69"/>
      <c r="R1797" s="69"/>
      <c r="S1797" s="69"/>
      <c r="T1797" s="69"/>
      <c r="U1797" s="69"/>
      <c r="V1797" s="69"/>
      <c r="W1797" s="69"/>
    </row>
    <row r="1798" spans="7:23" x14ac:dyDescent="0.3">
      <c r="G1798" s="69"/>
      <c r="H1798" s="69"/>
      <c r="I1798" s="69"/>
      <c r="J1798" s="69"/>
      <c r="K1798" s="69"/>
      <c r="L1798" s="69"/>
      <c r="M1798" s="69"/>
      <c r="N1798" s="69"/>
      <c r="O1798" s="69"/>
      <c r="P1798" s="69"/>
      <c r="Q1798" s="69"/>
      <c r="R1798" s="69"/>
      <c r="S1798" s="69"/>
      <c r="T1798" s="69"/>
      <c r="U1798" s="69"/>
      <c r="V1798" s="69"/>
      <c r="W1798" s="69"/>
    </row>
    <row r="1799" spans="7:23" x14ac:dyDescent="0.3">
      <c r="G1799" s="69"/>
      <c r="H1799" s="69"/>
      <c r="I1799" s="69"/>
      <c r="J1799" s="69"/>
      <c r="K1799" s="69"/>
      <c r="L1799" s="69"/>
      <c r="M1799" s="69"/>
      <c r="N1799" s="69"/>
      <c r="O1799" s="69"/>
      <c r="P1799" s="69"/>
      <c r="Q1799" s="69"/>
      <c r="R1799" s="69"/>
      <c r="S1799" s="69"/>
      <c r="T1799" s="69"/>
      <c r="U1799" s="69"/>
      <c r="V1799" s="69"/>
      <c r="W1799" s="69"/>
    </row>
    <row r="1800" spans="7:23" x14ac:dyDescent="0.3">
      <c r="G1800" s="69"/>
      <c r="H1800" s="69"/>
      <c r="I1800" s="69"/>
      <c r="J1800" s="69"/>
      <c r="K1800" s="69"/>
      <c r="L1800" s="69"/>
      <c r="M1800" s="69"/>
      <c r="N1800" s="69"/>
      <c r="O1800" s="69"/>
      <c r="P1800" s="69"/>
      <c r="Q1800" s="69"/>
      <c r="R1800" s="69"/>
      <c r="S1800" s="69"/>
      <c r="T1800" s="69"/>
      <c r="U1800" s="69"/>
      <c r="V1800" s="69"/>
      <c r="W1800" s="69"/>
    </row>
    <row r="1801" spans="7:23" x14ac:dyDescent="0.3">
      <c r="G1801" s="69"/>
      <c r="H1801" s="69"/>
      <c r="I1801" s="69"/>
      <c r="J1801" s="69"/>
      <c r="K1801" s="69"/>
      <c r="L1801" s="69"/>
      <c r="M1801" s="69"/>
      <c r="N1801" s="69"/>
      <c r="O1801" s="69"/>
      <c r="P1801" s="69"/>
      <c r="Q1801" s="69"/>
      <c r="R1801" s="69"/>
      <c r="S1801" s="69"/>
      <c r="T1801" s="69"/>
      <c r="U1801" s="69"/>
      <c r="V1801" s="69"/>
      <c r="W1801" s="69"/>
    </row>
    <row r="1802" spans="7:23" x14ac:dyDescent="0.3">
      <c r="G1802" s="69"/>
      <c r="H1802" s="69"/>
      <c r="I1802" s="69"/>
      <c r="J1802" s="69"/>
      <c r="K1802" s="69"/>
      <c r="L1802" s="69"/>
      <c r="M1802" s="69"/>
      <c r="N1802" s="69"/>
      <c r="O1802" s="69"/>
      <c r="P1802" s="69"/>
      <c r="Q1802" s="69"/>
      <c r="R1802" s="69"/>
      <c r="S1802" s="69"/>
      <c r="T1802" s="69"/>
      <c r="U1802" s="69"/>
      <c r="V1802" s="69"/>
      <c r="W1802" s="69"/>
    </row>
    <row r="1803" spans="7:23" x14ac:dyDescent="0.3">
      <c r="G1803" s="69"/>
      <c r="H1803" s="69"/>
      <c r="I1803" s="69"/>
      <c r="J1803" s="69"/>
      <c r="K1803" s="69"/>
      <c r="L1803" s="69"/>
      <c r="M1803" s="69"/>
      <c r="N1803" s="69"/>
      <c r="O1803" s="69"/>
      <c r="P1803" s="69"/>
      <c r="Q1803" s="69"/>
      <c r="R1803" s="69"/>
      <c r="S1803" s="69"/>
      <c r="T1803" s="69"/>
      <c r="U1803" s="69"/>
      <c r="V1803" s="69"/>
      <c r="W1803" s="69"/>
    </row>
    <row r="1804" spans="7:23" x14ac:dyDescent="0.3">
      <c r="G1804" s="69"/>
      <c r="H1804" s="69"/>
      <c r="I1804" s="69"/>
      <c r="J1804" s="69"/>
      <c r="K1804" s="69"/>
      <c r="L1804" s="69"/>
      <c r="M1804" s="69"/>
      <c r="N1804" s="69"/>
      <c r="O1804" s="69"/>
      <c r="P1804" s="69"/>
      <c r="Q1804" s="69"/>
      <c r="R1804" s="69"/>
      <c r="S1804" s="69"/>
      <c r="T1804" s="69"/>
      <c r="U1804" s="69"/>
      <c r="V1804" s="69"/>
      <c r="W1804" s="69"/>
    </row>
    <row r="1805" spans="7:23" x14ac:dyDescent="0.3">
      <c r="G1805" s="69"/>
      <c r="H1805" s="69"/>
      <c r="I1805" s="69"/>
      <c r="J1805" s="69"/>
      <c r="K1805" s="69"/>
      <c r="L1805" s="69"/>
      <c r="M1805" s="69"/>
      <c r="N1805" s="69"/>
      <c r="O1805" s="69"/>
      <c r="P1805" s="69"/>
      <c r="Q1805" s="69"/>
      <c r="R1805" s="69"/>
      <c r="S1805" s="69"/>
      <c r="T1805" s="69"/>
      <c r="U1805" s="69"/>
      <c r="V1805" s="69"/>
      <c r="W1805" s="69"/>
    </row>
    <row r="1806" spans="7:23" x14ac:dyDescent="0.3">
      <c r="G1806" s="69"/>
      <c r="H1806" s="69"/>
      <c r="I1806" s="69"/>
      <c r="J1806" s="69"/>
      <c r="K1806" s="69"/>
      <c r="L1806" s="69"/>
      <c r="M1806" s="69"/>
      <c r="N1806" s="69"/>
      <c r="O1806" s="69"/>
      <c r="P1806" s="69"/>
      <c r="Q1806" s="69"/>
      <c r="R1806" s="69"/>
      <c r="S1806" s="69"/>
      <c r="T1806" s="69"/>
      <c r="U1806" s="69"/>
      <c r="V1806" s="69"/>
      <c r="W1806" s="69"/>
    </row>
    <row r="1807" spans="7:23" x14ac:dyDescent="0.3">
      <c r="G1807" s="69"/>
      <c r="H1807" s="69"/>
      <c r="I1807" s="69"/>
      <c r="J1807" s="69"/>
      <c r="K1807" s="69"/>
      <c r="L1807" s="69"/>
      <c r="M1807" s="69"/>
      <c r="N1807" s="69"/>
      <c r="O1807" s="69"/>
      <c r="P1807" s="69"/>
      <c r="Q1807" s="69"/>
      <c r="R1807" s="69"/>
      <c r="S1807" s="69"/>
      <c r="T1807" s="69"/>
      <c r="U1807" s="69"/>
      <c r="V1807" s="69"/>
      <c r="W1807" s="69"/>
    </row>
    <row r="1808" spans="7:23" x14ac:dyDescent="0.3">
      <c r="G1808" s="69"/>
      <c r="H1808" s="69"/>
      <c r="I1808" s="69"/>
      <c r="J1808" s="69"/>
      <c r="K1808" s="69"/>
      <c r="L1808" s="69"/>
      <c r="M1808" s="69"/>
      <c r="N1808" s="69"/>
      <c r="O1808" s="69"/>
      <c r="P1808" s="69"/>
      <c r="Q1808" s="69"/>
      <c r="R1808" s="69"/>
      <c r="S1808" s="69"/>
      <c r="T1808" s="69"/>
      <c r="U1808" s="69"/>
      <c r="V1808" s="69"/>
      <c r="W1808" s="69"/>
    </row>
    <row r="1809" spans="7:23" x14ac:dyDescent="0.3">
      <c r="G1809" s="69"/>
      <c r="H1809" s="69"/>
      <c r="I1809" s="69"/>
      <c r="J1809" s="69"/>
      <c r="K1809" s="69"/>
      <c r="L1809" s="69"/>
      <c r="M1809" s="69"/>
      <c r="N1809" s="69"/>
      <c r="O1809" s="69"/>
      <c r="P1809" s="69"/>
      <c r="Q1809" s="69"/>
      <c r="R1809" s="69"/>
      <c r="S1809" s="69"/>
      <c r="T1809" s="69"/>
      <c r="U1809" s="69"/>
      <c r="V1809" s="69"/>
      <c r="W1809" s="69"/>
    </row>
    <row r="1810" spans="7:23" x14ac:dyDescent="0.3">
      <c r="G1810" s="69"/>
      <c r="H1810" s="69"/>
      <c r="I1810" s="69"/>
      <c r="J1810" s="69"/>
      <c r="K1810" s="69"/>
      <c r="L1810" s="69"/>
      <c r="M1810" s="69"/>
      <c r="N1810" s="69"/>
      <c r="O1810" s="69"/>
      <c r="P1810" s="69"/>
      <c r="Q1810" s="69"/>
      <c r="R1810" s="69"/>
      <c r="S1810" s="69"/>
      <c r="T1810" s="69"/>
      <c r="U1810" s="69"/>
      <c r="V1810" s="69"/>
      <c r="W1810" s="69"/>
    </row>
    <row r="1811" spans="7:23" x14ac:dyDescent="0.3">
      <c r="G1811" s="69"/>
      <c r="H1811" s="69"/>
      <c r="I1811" s="69"/>
      <c r="J1811" s="69"/>
      <c r="K1811" s="69"/>
      <c r="L1811" s="69"/>
      <c r="M1811" s="69"/>
      <c r="N1811" s="69"/>
      <c r="O1811" s="69"/>
      <c r="P1811" s="69"/>
      <c r="Q1811" s="69"/>
      <c r="R1811" s="69"/>
      <c r="S1811" s="69"/>
      <c r="T1811" s="69"/>
      <c r="U1811" s="69"/>
      <c r="V1811" s="69"/>
      <c r="W1811" s="69"/>
    </row>
    <row r="1812" spans="7:23" x14ac:dyDescent="0.3">
      <c r="G1812" s="69"/>
      <c r="H1812" s="69"/>
      <c r="I1812" s="69"/>
      <c r="J1812" s="69"/>
      <c r="K1812" s="69"/>
      <c r="L1812" s="69"/>
      <c r="M1812" s="69"/>
      <c r="N1812" s="69"/>
      <c r="O1812" s="69"/>
      <c r="P1812" s="69"/>
      <c r="Q1812" s="69"/>
      <c r="R1812" s="69"/>
      <c r="S1812" s="69"/>
      <c r="T1812" s="69"/>
      <c r="U1812" s="69"/>
      <c r="V1812" s="69"/>
      <c r="W1812" s="69"/>
    </row>
    <row r="1813" spans="7:23" x14ac:dyDescent="0.3">
      <c r="G1813" s="69"/>
      <c r="H1813" s="69"/>
      <c r="I1813" s="69"/>
      <c r="J1813" s="69"/>
      <c r="K1813" s="69"/>
      <c r="L1813" s="69"/>
      <c r="M1813" s="69"/>
      <c r="N1813" s="69"/>
      <c r="O1813" s="69"/>
      <c r="P1813" s="69"/>
      <c r="Q1813" s="69"/>
      <c r="R1813" s="69"/>
      <c r="S1813" s="69"/>
      <c r="T1813" s="69"/>
      <c r="U1813" s="69"/>
      <c r="V1813" s="69"/>
      <c r="W1813" s="69"/>
    </row>
    <row r="1814" spans="7:23" x14ac:dyDescent="0.3">
      <c r="G1814" s="69"/>
      <c r="H1814" s="69"/>
      <c r="I1814" s="69"/>
      <c r="J1814" s="69"/>
      <c r="K1814" s="69"/>
      <c r="L1814" s="69"/>
      <c r="M1814" s="69"/>
      <c r="N1814" s="69"/>
      <c r="O1814" s="69"/>
      <c r="P1814" s="69"/>
      <c r="Q1814" s="69"/>
      <c r="R1814" s="69"/>
      <c r="S1814" s="69"/>
      <c r="T1814" s="69"/>
      <c r="U1814" s="69"/>
      <c r="V1814" s="69"/>
      <c r="W1814" s="69"/>
    </row>
    <row r="1815" spans="7:23" x14ac:dyDescent="0.3">
      <c r="G1815" s="69"/>
      <c r="H1815" s="69"/>
      <c r="I1815" s="69"/>
      <c r="J1815" s="69"/>
      <c r="K1815" s="69"/>
      <c r="L1815" s="69"/>
      <c r="M1815" s="69"/>
      <c r="N1815" s="69"/>
      <c r="O1815" s="69"/>
      <c r="P1815" s="69"/>
      <c r="Q1815" s="69"/>
      <c r="R1815" s="69"/>
      <c r="S1815" s="69"/>
      <c r="T1815" s="69"/>
      <c r="U1815" s="69"/>
      <c r="V1815" s="69"/>
      <c r="W1815" s="69"/>
    </row>
    <row r="1816" spans="7:23" x14ac:dyDescent="0.3">
      <c r="G1816" s="69"/>
      <c r="H1816" s="69"/>
      <c r="I1816" s="69"/>
      <c r="J1816" s="69"/>
      <c r="K1816" s="69"/>
      <c r="L1816" s="69"/>
      <c r="M1816" s="69"/>
      <c r="N1816" s="69"/>
      <c r="O1816" s="69"/>
      <c r="P1816" s="69"/>
      <c r="Q1816" s="69"/>
      <c r="R1816" s="69"/>
      <c r="S1816" s="69"/>
      <c r="T1816" s="69"/>
      <c r="U1816" s="69"/>
      <c r="V1816" s="69"/>
      <c r="W1816" s="69"/>
    </row>
    <row r="1817" spans="7:23" x14ac:dyDescent="0.3">
      <c r="G1817" s="69"/>
      <c r="H1817" s="69"/>
      <c r="I1817" s="69"/>
      <c r="J1817" s="69"/>
      <c r="K1817" s="69"/>
      <c r="L1817" s="69"/>
      <c r="M1817" s="69"/>
      <c r="N1817" s="69"/>
      <c r="O1817" s="69"/>
      <c r="P1817" s="69"/>
      <c r="Q1817" s="69"/>
      <c r="R1817" s="69"/>
      <c r="S1817" s="69"/>
      <c r="T1817" s="69"/>
      <c r="U1817" s="69"/>
      <c r="V1817" s="69"/>
      <c r="W1817" s="69"/>
    </row>
    <row r="1818" spans="7:23" x14ac:dyDescent="0.3">
      <c r="G1818" s="69"/>
      <c r="H1818" s="69"/>
      <c r="I1818" s="69"/>
      <c r="J1818" s="69"/>
      <c r="K1818" s="69"/>
      <c r="L1818" s="69"/>
      <c r="M1818" s="69"/>
      <c r="N1818" s="69"/>
      <c r="O1818" s="69"/>
      <c r="P1818" s="69"/>
      <c r="Q1818" s="69"/>
      <c r="R1818" s="69"/>
      <c r="S1818" s="69"/>
      <c r="T1818" s="69"/>
      <c r="U1818" s="69"/>
      <c r="V1818" s="69"/>
      <c r="W1818" s="69"/>
    </row>
    <row r="1819" spans="7:23" x14ac:dyDescent="0.3">
      <c r="G1819" s="69"/>
      <c r="H1819" s="69"/>
      <c r="I1819" s="69"/>
      <c r="J1819" s="69"/>
      <c r="K1819" s="69"/>
      <c r="L1819" s="69"/>
      <c r="M1819" s="69"/>
      <c r="N1819" s="69"/>
      <c r="O1819" s="69"/>
      <c r="P1819" s="69"/>
      <c r="Q1819" s="69"/>
      <c r="R1819" s="69"/>
      <c r="S1819" s="69"/>
      <c r="T1819" s="69"/>
      <c r="U1819" s="69"/>
      <c r="V1819" s="69"/>
      <c r="W1819" s="69"/>
    </row>
    <row r="1820" spans="7:23" x14ac:dyDescent="0.3">
      <c r="G1820" s="69"/>
      <c r="H1820" s="69"/>
      <c r="I1820" s="69"/>
      <c r="J1820" s="69"/>
      <c r="K1820" s="69"/>
      <c r="L1820" s="69"/>
      <c r="M1820" s="69"/>
      <c r="N1820" s="69"/>
      <c r="O1820" s="69"/>
      <c r="P1820" s="69"/>
      <c r="Q1820" s="69"/>
      <c r="R1820" s="69"/>
      <c r="S1820" s="69"/>
      <c r="T1820" s="69"/>
      <c r="U1820" s="69"/>
      <c r="V1820" s="69"/>
      <c r="W1820" s="69"/>
    </row>
    <row r="1821" spans="7:23" x14ac:dyDescent="0.3">
      <c r="G1821" s="69"/>
      <c r="H1821" s="69"/>
      <c r="I1821" s="69"/>
      <c r="J1821" s="69"/>
      <c r="K1821" s="69"/>
      <c r="L1821" s="69"/>
      <c r="M1821" s="69"/>
      <c r="N1821" s="69"/>
      <c r="O1821" s="69"/>
      <c r="P1821" s="69"/>
      <c r="Q1821" s="69"/>
      <c r="R1821" s="69"/>
      <c r="S1821" s="69"/>
      <c r="T1821" s="69"/>
      <c r="U1821" s="69"/>
      <c r="V1821" s="69"/>
      <c r="W1821" s="69"/>
    </row>
    <row r="1822" spans="7:23" x14ac:dyDescent="0.3">
      <c r="G1822" s="69"/>
      <c r="H1822" s="69"/>
      <c r="I1822" s="69"/>
      <c r="J1822" s="69"/>
      <c r="K1822" s="69"/>
      <c r="L1822" s="69"/>
      <c r="M1822" s="69"/>
      <c r="N1822" s="69"/>
      <c r="O1822" s="69"/>
      <c r="P1822" s="69"/>
      <c r="Q1822" s="69"/>
      <c r="R1822" s="69"/>
      <c r="S1822" s="69"/>
      <c r="T1822" s="69"/>
      <c r="U1822" s="69"/>
      <c r="V1822" s="69"/>
      <c r="W1822" s="69"/>
    </row>
    <row r="1823" spans="7:23" x14ac:dyDescent="0.3">
      <c r="G1823" s="69"/>
      <c r="H1823" s="69"/>
      <c r="I1823" s="69"/>
      <c r="J1823" s="69"/>
      <c r="K1823" s="69"/>
      <c r="L1823" s="69"/>
      <c r="M1823" s="69"/>
      <c r="N1823" s="69"/>
      <c r="O1823" s="69"/>
      <c r="P1823" s="69"/>
      <c r="Q1823" s="69"/>
      <c r="R1823" s="69"/>
      <c r="S1823" s="69"/>
      <c r="T1823" s="69"/>
      <c r="U1823" s="69"/>
      <c r="V1823" s="69"/>
      <c r="W1823" s="69"/>
    </row>
    <row r="1824" spans="7:23" x14ac:dyDescent="0.3">
      <c r="G1824" s="69"/>
      <c r="H1824" s="69"/>
      <c r="I1824" s="69"/>
      <c r="J1824" s="69"/>
      <c r="K1824" s="69"/>
      <c r="L1824" s="69"/>
      <c r="M1824" s="69"/>
      <c r="N1824" s="69"/>
      <c r="O1824" s="69"/>
      <c r="P1824" s="69"/>
      <c r="Q1824" s="69"/>
      <c r="R1824" s="69"/>
      <c r="S1824" s="69"/>
      <c r="T1824" s="69"/>
      <c r="U1824" s="69"/>
      <c r="V1824" s="69"/>
      <c r="W1824" s="69"/>
    </row>
    <row r="1825" spans="7:23" x14ac:dyDescent="0.3">
      <c r="G1825" s="69"/>
      <c r="H1825" s="69"/>
      <c r="I1825" s="69"/>
      <c r="J1825" s="69"/>
      <c r="K1825" s="69"/>
      <c r="L1825" s="69"/>
      <c r="M1825" s="69"/>
      <c r="N1825" s="69"/>
      <c r="O1825" s="69"/>
      <c r="P1825" s="69"/>
      <c r="Q1825" s="69"/>
      <c r="R1825" s="69"/>
      <c r="S1825" s="69"/>
      <c r="T1825" s="69"/>
      <c r="U1825" s="69"/>
      <c r="V1825" s="69"/>
      <c r="W1825" s="69"/>
    </row>
    <row r="1826" spans="7:23" x14ac:dyDescent="0.3">
      <c r="G1826" s="69"/>
      <c r="H1826" s="69"/>
      <c r="I1826" s="69"/>
      <c r="J1826" s="69"/>
      <c r="K1826" s="69"/>
      <c r="L1826" s="69"/>
      <c r="M1826" s="69"/>
      <c r="N1826" s="69"/>
      <c r="O1826" s="69"/>
      <c r="P1826" s="69"/>
      <c r="Q1826" s="69"/>
      <c r="R1826" s="69"/>
      <c r="S1826" s="69"/>
      <c r="T1826" s="69"/>
      <c r="U1826" s="69"/>
      <c r="V1826" s="69"/>
      <c r="W1826" s="69"/>
    </row>
    <row r="1827" spans="7:23" x14ac:dyDescent="0.3">
      <c r="G1827" s="69"/>
      <c r="H1827" s="69"/>
      <c r="I1827" s="69"/>
      <c r="J1827" s="69"/>
      <c r="K1827" s="69"/>
      <c r="L1827" s="69"/>
      <c r="M1827" s="69"/>
      <c r="N1827" s="69"/>
      <c r="O1827" s="69"/>
      <c r="P1827" s="69"/>
      <c r="Q1827" s="69"/>
      <c r="R1827" s="69"/>
      <c r="S1827" s="69"/>
      <c r="T1827" s="69"/>
      <c r="U1827" s="69"/>
      <c r="V1827" s="69"/>
      <c r="W1827" s="69"/>
    </row>
    <row r="1828" spans="7:23" x14ac:dyDescent="0.3">
      <c r="G1828" s="69"/>
      <c r="H1828" s="69"/>
      <c r="I1828" s="69"/>
      <c r="J1828" s="69"/>
      <c r="K1828" s="69"/>
      <c r="L1828" s="69"/>
      <c r="M1828" s="69"/>
      <c r="N1828" s="69"/>
      <c r="O1828" s="69"/>
      <c r="P1828" s="69"/>
      <c r="Q1828" s="69"/>
      <c r="R1828" s="69"/>
      <c r="S1828" s="69"/>
      <c r="T1828" s="69"/>
      <c r="U1828" s="69"/>
      <c r="V1828" s="69"/>
      <c r="W1828" s="69"/>
    </row>
    <row r="1829" spans="7:23" x14ac:dyDescent="0.3">
      <c r="G1829" s="69"/>
      <c r="H1829" s="69"/>
      <c r="I1829" s="69"/>
      <c r="J1829" s="69"/>
      <c r="K1829" s="69"/>
      <c r="L1829" s="69"/>
      <c r="M1829" s="69"/>
      <c r="N1829" s="69"/>
      <c r="O1829" s="69"/>
      <c r="P1829" s="69"/>
      <c r="Q1829" s="69"/>
      <c r="R1829" s="69"/>
      <c r="S1829" s="69"/>
      <c r="T1829" s="69"/>
      <c r="U1829" s="69"/>
      <c r="V1829" s="69"/>
      <c r="W1829" s="69"/>
    </row>
    <row r="1830" spans="7:23" x14ac:dyDescent="0.3">
      <c r="G1830" s="69"/>
      <c r="H1830" s="69"/>
      <c r="I1830" s="69"/>
      <c r="J1830" s="69"/>
      <c r="K1830" s="69"/>
      <c r="L1830" s="69"/>
      <c r="M1830" s="69"/>
      <c r="N1830" s="69"/>
      <c r="O1830" s="69"/>
      <c r="P1830" s="69"/>
      <c r="Q1830" s="69"/>
      <c r="R1830" s="69"/>
      <c r="S1830" s="69"/>
      <c r="T1830" s="69"/>
      <c r="U1830" s="69"/>
      <c r="V1830" s="69"/>
      <c r="W1830" s="69"/>
    </row>
    <row r="1831" spans="7:23" x14ac:dyDescent="0.3">
      <c r="G1831" s="69"/>
      <c r="H1831" s="69"/>
      <c r="I1831" s="69"/>
      <c r="J1831" s="69"/>
      <c r="K1831" s="69"/>
      <c r="L1831" s="69"/>
      <c r="M1831" s="69"/>
      <c r="N1831" s="69"/>
      <c r="O1831" s="69"/>
      <c r="P1831" s="69"/>
      <c r="Q1831" s="69"/>
      <c r="R1831" s="69"/>
      <c r="S1831" s="69"/>
      <c r="T1831" s="69"/>
      <c r="U1831" s="69"/>
      <c r="V1831" s="69"/>
      <c r="W1831" s="69"/>
    </row>
    <row r="1832" spans="7:23" x14ac:dyDescent="0.3">
      <c r="G1832" s="69"/>
      <c r="H1832" s="69"/>
      <c r="I1832" s="69"/>
      <c r="J1832" s="69"/>
      <c r="K1832" s="69"/>
      <c r="L1832" s="69"/>
      <c r="M1832" s="69"/>
      <c r="N1832" s="69"/>
      <c r="O1832" s="69"/>
      <c r="P1832" s="69"/>
      <c r="Q1832" s="69"/>
      <c r="R1832" s="69"/>
      <c r="S1832" s="69"/>
      <c r="T1832" s="69"/>
      <c r="U1832" s="69"/>
      <c r="V1832" s="69"/>
      <c r="W1832" s="69"/>
    </row>
    <row r="1833" spans="7:23" x14ac:dyDescent="0.3">
      <c r="G1833" s="69"/>
      <c r="H1833" s="69"/>
      <c r="I1833" s="69"/>
      <c r="J1833" s="69"/>
      <c r="K1833" s="69"/>
      <c r="L1833" s="69"/>
      <c r="M1833" s="69"/>
      <c r="N1833" s="69"/>
      <c r="O1833" s="69"/>
      <c r="P1833" s="69"/>
      <c r="Q1833" s="69"/>
      <c r="R1833" s="69"/>
      <c r="S1833" s="69"/>
      <c r="T1833" s="69"/>
      <c r="U1833" s="69"/>
      <c r="V1833" s="69"/>
      <c r="W1833" s="69"/>
    </row>
    <row r="1834" spans="7:23" x14ac:dyDescent="0.3">
      <c r="G1834" s="69"/>
      <c r="H1834" s="69"/>
      <c r="I1834" s="69"/>
      <c r="J1834" s="69"/>
      <c r="K1834" s="69"/>
      <c r="L1834" s="69"/>
      <c r="M1834" s="69"/>
      <c r="N1834" s="69"/>
      <c r="O1834" s="69"/>
      <c r="P1834" s="69"/>
      <c r="Q1834" s="69"/>
      <c r="R1834" s="69"/>
      <c r="S1834" s="69"/>
      <c r="T1834" s="69"/>
      <c r="U1834" s="69"/>
      <c r="V1834" s="69"/>
      <c r="W1834" s="69"/>
    </row>
    <row r="1835" spans="7:23" x14ac:dyDescent="0.3">
      <c r="G1835" s="69"/>
      <c r="H1835" s="69"/>
      <c r="I1835" s="69"/>
      <c r="J1835" s="69"/>
      <c r="K1835" s="69"/>
      <c r="L1835" s="69"/>
      <c r="M1835" s="69"/>
      <c r="N1835" s="69"/>
      <c r="O1835" s="69"/>
      <c r="P1835" s="69"/>
      <c r="Q1835" s="69"/>
      <c r="R1835" s="69"/>
      <c r="S1835" s="69"/>
      <c r="T1835" s="69"/>
      <c r="U1835" s="69"/>
      <c r="V1835" s="69"/>
      <c r="W1835" s="69"/>
    </row>
    <row r="1836" spans="7:23" x14ac:dyDescent="0.3">
      <c r="G1836" s="69"/>
      <c r="H1836" s="69"/>
      <c r="I1836" s="69"/>
      <c r="J1836" s="69"/>
      <c r="K1836" s="69"/>
      <c r="L1836" s="69"/>
      <c r="M1836" s="69"/>
      <c r="N1836" s="69"/>
      <c r="O1836" s="69"/>
      <c r="P1836" s="69"/>
      <c r="Q1836" s="69"/>
      <c r="R1836" s="69"/>
      <c r="S1836" s="69"/>
      <c r="T1836" s="69"/>
      <c r="U1836" s="69"/>
      <c r="V1836" s="69"/>
      <c r="W1836" s="69"/>
    </row>
    <row r="1837" spans="7:23" x14ac:dyDescent="0.3">
      <c r="G1837" s="69"/>
      <c r="H1837" s="69"/>
      <c r="I1837" s="69"/>
      <c r="J1837" s="69"/>
      <c r="K1837" s="69"/>
      <c r="L1837" s="69"/>
      <c r="M1837" s="69"/>
      <c r="N1837" s="69"/>
      <c r="O1837" s="69"/>
      <c r="P1837" s="69"/>
      <c r="Q1837" s="69"/>
      <c r="R1837" s="69"/>
      <c r="S1837" s="69"/>
      <c r="T1837" s="69"/>
      <c r="U1837" s="69"/>
      <c r="V1837" s="69"/>
      <c r="W1837" s="69"/>
    </row>
    <row r="1838" spans="7:23" x14ac:dyDescent="0.3">
      <c r="G1838" s="69"/>
      <c r="H1838" s="69"/>
      <c r="I1838" s="69"/>
      <c r="J1838" s="69"/>
      <c r="K1838" s="69"/>
      <c r="L1838" s="69"/>
      <c r="M1838" s="69"/>
      <c r="N1838" s="69"/>
      <c r="O1838" s="69"/>
      <c r="P1838" s="69"/>
      <c r="Q1838" s="69"/>
      <c r="R1838" s="69"/>
      <c r="S1838" s="69"/>
      <c r="T1838" s="69"/>
      <c r="U1838" s="69"/>
      <c r="V1838" s="69"/>
      <c r="W1838" s="69"/>
    </row>
    <row r="1839" spans="7:23" x14ac:dyDescent="0.3">
      <c r="G1839" s="69"/>
      <c r="H1839" s="69"/>
      <c r="I1839" s="69"/>
      <c r="J1839" s="69"/>
      <c r="K1839" s="69"/>
      <c r="L1839" s="69"/>
      <c r="M1839" s="69"/>
      <c r="N1839" s="69"/>
      <c r="O1839" s="69"/>
      <c r="P1839" s="69"/>
      <c r="Q1839" s="69"/>
      <c r="R1839" s="69"/>
      <c r="S1839" s="69"/>
      <c r="T1839" s="69"/>
      <c r="U1839" s="69"/>
      <c r="V1839" s="69"/>
      <c r="W1839" s="69"/>
    </row>
    <row r="1840" spans="7:23" x14ac:dyDescent="0.3">
      <c r="G1840" s="69"/>
      <c r="H1840" s="69"/>
      <c r="I1840" s="69"/>
      <c r="J1840" s="69"/>
      <c r="K1840" s="69"/>
      <c r="L1840" s="69"/>
      <c r="M1840" s="69"/>
      <c r="N1840" s="69"/>
      <c r="O1840" s="69"/>
      <c r="P1840" s="69"/>
      <c r="Q1840" s="69"/>
      <c r="R1840" s="69"/>
      <c r="S1840" s="69"/>
      <c r="T1840" s="69"/>
      <c r="U1840" s="69"/>
      <c r="V1840" s="69"/>
      <c r="W1840" s="69"/>
    </row>
    <row r="1841" spans="7:23" x14ac:dyDescent="0.3">
      <c r="G1841" s="69"/>
      <c r="H1841" s="69"/>
      <c r="I1841" s="69"/>
      <c r="J1841" s="69"/>
      <c r="K1841" s="69"/>
      <c r="L1841" s="69"/>
      <c r="M1841" s="69"/>
      <c r="N1841" s="69"/>
      <c r="O1841" s="69"/>
      <c r="P1841" s="69"/>
      <c r="Q1841" s="69"/>
      <c r="R1841" s="69"/>
      <c r="S1841" s="69"/>
      <c r="T1841" s="69"/>
      <c r="U1841" s="69"/>
      <c r="V1841" s="69"/>
      <c r="W1841" s="69"/>
    </row>
    <row r="1842" spans="7:23" x14ac:dyDescent="0.3">
      <c r="G1842" s="69"/>
      <c r="H1842" s="69"/>
      <c r="I1842" s="69"/>
      <c r="J1842" s="69"/>
      <c r="K1842" s="69"/>
      <c r="L1842" s="69"/>
      <c r="M1842" s="69"/>
      <c r="N1842" s="69"/>
      <c r="O1842" s="69"/>
      <c r="P1842" s="69"/>
      <c r="Q1842" s="69"/>
      <c r="R1842" s="69"/>
      <c r="S1842" s="69"/>
      <c r="T1842" s="69"/>
      <c r="U1842" s="69"/>
      <c r="V1842" s="69"/>
      <c r="W1842" s="69"/>
    </row>
    <row r="1843" spans="7:23" x14ac:dyDescent="0.3">
      <c r="G1843" s="69"/>
      <c r="H1843" s="69"/>
      <c r="I1843" s="69"/>
      <c r="J1843" s="69"/>
      <c r="K1843" s="69"/>
      <c r="L1843" s="69"/>
      <c r="M1843" s="69"/>
      <c r="N1843" s="69"/>
      <c r="O1843" s="69"/>
      <c r="P1843" s="69"/>
      <c r="Q1843" s="69"/>
      <c r="R1843" s="69"/>
      <c r="S1843" s="69"/>
      <c r="T1843" s="69"/>
      <c r="U1843" s="69"/>
      <c r="V1843" s="69"/>
      <c r="W1843" s="69"/>
    </row>
    <row r="1844" spans="7:23" x14ac:dyDescent="0.3">
      <c r="G1844" s="69"/>
      <c r="H1844" s="69"/>
      <c r="I1844" s="69"/>
      <c r="J1844" s="69"/>
      <c r="K1844" s="69"/>
      <c r="L1844" s="69"/>
      <c r="M1844" s="69"/>
      <c r="N1844" s="69"/>
      <c r="O1844" s="69"/>
      <c r="P1844" s="69"/>
      <c r="Q1844" s="69"/>
      <c r="R1844" s="69"/>
      <c r="S1844" s="69"/>
      <c r="T1844" s="69"/>
      <c r="U1844" s="69"/>
      <c r="V1844" s="69"/>
      <c r="W1844" s="69"/>
    </row>
    <row r="1845" spans="7:23" x14ac:dyDescent="0.3">
      <c r="G1845" s="69"/>
      <c r="H1845" s="69"/>
      <c r="I1845" s="69"/>
      <c r="J1845" s="69"/>
      <c r="K1845" s="69"/>
      <c r="L1845" s="69"/>
      <c r="M1845" s="69"/>
      <c r="N1845" s="69"/>
      <c r="O1845" s="69"/>
      <c r="P1845" s="69"/>
      <c r="Q1845" s="69"/>
      <c r="R1845" s="69"/>
      <c r="S1845" s="69"/>
      <c r="T1845" s="69"/>
      <c r="U1845" s="69"/>
      <c r="V1845" s="69"/>
      <c r="W1845" s="69"/>
    </row>
    <row r="1846" spans="7:23" x14ac:dyDescent="0.3">
      <c r="G1846" s="69"/>
      <c r="H1846" s="69"/>
      <c r="I1846" s="69"/>
      <c r="J1846" s="69"/>
      <c r="K1846" s="69"/>
      <c r="L1846" s="69"/>
      <c r="M1846" s="69"/>
      <c r="N1846" s="69"/>
      <c r="O1846" s="69"/>
      <c r="P1846" s="69"/>
      <c r="Q1846" s="69"/>
      <c r="R1846" s="69"/>
      <c r="S1846" s="69"/>
      <c r="T1846" s="69"/>
      <c r="U1846" s="69"/>
      <c r="V1846" s="69"/>
      <c r="W1846" s="69"/>
    </row>
    <row r="1847" spans="7:23" x14ac:dyDescent="0.3">
      <c r="G1847" s="69"/>
      <c r="H1847" s="69"/>
      <c r="I1847" s="69"/>
      <c r="J1847" s="69"/>
      <c r="K1847" s="69"/>
      <c r="L1847" s="69"/>
      <c r="M1847" s="69"/>
      <c r="N1847" s="69"/>
      <c r="O1847" s="69"/>
      <c r="P1847" s="69"/>
      <c r="Q1847" s="69"/>
      <c r="R1847" s="69"/>
      <c r="S1847" s="69"/>
      <c r="T1847" s="69"/>
      <c r="U1847" s="69"/>
      <c r="V1847" s="69"/>
      <c r="W1847" s="69"/>
    </row>
    <row r="1848" spans="7:23" x14ac:dyDescent="0.3">
      <c r="G1848" s="69"/>
      <c r="H1848" s="69"/>
      <c r="I1848" s="69"/>
      <c r="J1848" s="69"/>
      <c r="K1848" s="69"/>
      <c r="L1848" s="69"/>
      <c r="M1848" s="69"/>
      <c r="N1848" s="69"/>
      <c r="O1848" s="69"/>
      <c r="P1848" s="69"/>
      <c r="Q1848" s="69"/>
      <c r="R1848" s="69"/>
      <c r="S1848" s="69"/>
      <c r="T1848" s="69"/>
      <c r="U1848" s="69"/>
      <c r="V1848" s="69"/>
      <c r="W1848" s="69"/>
    </row>
    <row r="1849" spans="7:23" x14ac:dyDescent="0.3">
      <c r="G1849" s="69"/>
      <c r="H1849" s="69"/>
      <c r="I1849" s="69"/>
      <c r="J1849" s="69"/>
      <c r="K1849" s="69"/>
      <c r="L1849" s="69"/>
      <c r="M1849" s="69"/>
      <c r="N1849" s="69"/>
      <c r="O1849" s="69"/>
      <c r="P1849" s="69"/>
      <c r="Q1849" s="69"/>
      <c r="R1849" s="69"/>
      <c r="S1849" s="69"/>
      <c r="T1849" s="69"/>
      <c r="U1849" s="69"/>
      <c r="V1849" s="69"/>
      <c r="W1849" s="69"/>
    </row>
    <row r="1850" spans="7:23" x14ac:dyDescent="0.3">
      <c r="G1850" s="69"/>
      <c r="H1850" s="69"/>
      <c r="I1850" s="69"/>
      <c r="J1850" s="69"/>
      <c r="K1850" s="69"/>
      <c r="L1850" s="69"/>
      <c r="M1850" s="69"/>
      <c r="N1850" s="69"/>
      <c r="O1850" s="69"/>
      <c r="P1850" s="69"/>
      <c r="Q1850" s="69"/>
      <c r="R1850" s="69"/>
      <c r="S1850" s="69"/>
      <c r="T1850" s="69"/>
      <c r="U1850" s="69"/>
      <c r="V1850" s="69"/>
      <c r="W1850" s="69"/>
    </row>
    <row r="1851" spans="7:23" x14ac:dyDescent="0.3">
      <c r="G1851" s="69"/>
      <c r="H1851" s="69"/>
      <c r="I1851" s="69"/>
      <c r="J1851" s="69"/>
      <c r="K1851" s="69"/>
      <c r="L1851" s="69"/>
      <c r="M1851" s="69"/>
      <c r="N1851" s="69"/>
      <c r="O1851" s="69"/>
      <c r="P1851" s="69"/>
      <c r="Q1851" s="69"/>
      <c r="R1851" s="69"/>
      <c r="S1851" s="69"/>
      <c r="T1851" s="69"/>
      <c r="U1851" s="69"/>
      <c r="V1851" s="69"/>
      <c r="W1851" s="69"/>
    </row>
    <row r="1852" spans="7:23" x14ac:dyDescent="0.3">
      <c r="G1852" s="69"/>
      <c r="H1852" s="69"/>
      <c r="I1852" s="69"/>
      <c r="J1852" s="69"/>
      <c r="K1852" s="69"/>
      <c r="L1852" s="69"/>
      <c r="M1852" s="69"/>
      <c r="N1852" s="69"/>
      <c r="O1852" s="69"/>
      <c r="P1852" s="69"/>
      <c r="Q1852" s="69"/>
      <c r="R1852" s="69"/>
      <c r="S1852" s="69"/>
      <c r="T1852" s="69"/>
      <c r="U1852" s="69"/>
      <c r="V1852" s="69"/>
      <c r="W1852" s="69"/>
    </row>
    <row r="1853" spans="7:23" x14ac:dyDescent="0.3">
      <c r="G1853" s="69"/>
      <c r="H1853" s="69"/>
      <c r="I1853" s="69"/>
      <c r="J1853" s="69"/>
      <c r="K1853" s="69"/>
      <c r="L1853" s="69"/>
      <c r="M1853" s="69"/>
      <c r="N1853" s="69"/>
      <c r="O1853" s="69"/>
      <c r="P1853" s="69"/>
      <c r="Q1853" s="69"/>
      <c r="R1853" s="69"/>
      <c r="S1853" s="69"/>
      <c r="T1853" s="69"/>
      <c r="U1853" s="69"/>
      <c r="V1853" s="69"/>
      <c r="W1853" s="69"/>
    </row>
    <row r="1854" spans="7:23" x14ac:dyDescent="0.3">
      <c r="G1854" s="69"/>
      <c r="H1854" s="69"/>
      <c r="I1854" s="69"/>
      <c r="J1854" s="69"/>
      <c r="K1854" s="69"/>
      <c r="L1854" s="69"/>
      <c r="M1854" s="69"/>
      <c r="N1854" s="69"/>
      <c r="O1854" s="69"/>
      <c r="P1854" s="69"/>
      <c r="Q1854" s="69"/>
      <c r="R1854" s="69"/>
      <c r="S1854" s="69"/>
      <c r="T1854" s="69"/>
      <c r="U1854" s="69"/>
      <c r="V1854" s="69"/>
      <c r="W1854" s="69"/>
    </row>
    <row r="1855" spans="7:23" x14ac:dyDescent="0.3">
      <c r="G1855" s="69"/>
      <c r="H1855" s="69"/>
      <c r="I1855" s="69"/>
      <c r="J1855" s="69"/>
      <c r="K1855" s="69"/>
      <c r="L1855" s="69"/>
      <c r="M1855" s="69"/>
      <c r="N1855" s="69"/>
      <c r="O1855" s="69"/>
      <c r="P1855" s="69"/>
      <c r="Q1855" s="69"/>
      <c r="R1855" s="69"/>
      <c r="S1855" s="69"/>
      <c r="T1855" s="69"/>
      <c r="U1855" s="69"/>
      <c r="V1855" s="69"/>
      <c r="W1855" s="69"/>
    </row>
    <row r="1856" spans="7:23" x14ac:dyDescent="0.3">
      <c r="G1856" s="69"/>
      <c r="H1856" s="69"/>
      <c r="I1856" s="69"/>
      <c r="J1856" s="69"/>
      <c r="K1856" s="69"/>
      <c r="L1856" s="69"/>
      <c r="M1856" s="69"/>
      <c r="N1856" s="69"/>
      <c r="O1856" s="69"/>
      <c r="P1856" s="69"/>
      <c r="Q1856" s="69"/>
      <c r="R1856" s="69"/>
      <c r="S1856" s="69"/>
      <c r="T1856" s="69"/>
      <c r="U1856" s="69"/>
      <c r="V1856" s="69"/>
      <c r="W1856" s="69"/>
    </row>
    <row r="1857" spans="1:23" x14ac:dyDescent="0.3">
      <c r="G1857" s="69"/>
      <c r="H1857" s="69"/>
      <c r="I1857" s="69"/>
      <c r="J1857" s="69"/>
      <c r="K1857" s="69"/>
      <c r="L1857" s="69"/>
      <c r="M1857" s="69"/>
      <c r="N1857" s="69"/>
      <c r="O1857" s="69"/>
      <c r="P1857" s="69"/>
      <c r="Q1857" s="69"/>
      <c r="R1857" s="69"/>
      <c r="S1857" s="69"/>
      <c r="T1857" s="69"/>
      <c r="U1857" s="69"/>
      <c r="V1857" s="69"/>
      <c r="W1857" s="69"/>
    </row>
    <row r="1858" spans="1:23" x14ac:dyDescent="0.3">
      <c r="G1858" s="69"/>
      <c r="H1858" s="69"/>
      <c r="I1858" s="69"/>
      <c r="J1858" s="69"/>
      <c r="K1858" s="69"/>
      <c r="L1858" s="69"/>
      <c r="M1858" s="69"/>
      <c r="N1858" s="69"/>
      <c r="O1858" s="69"/>
      <c r="P1858" s="69"/>
      <c r="Q1858" s="69"/>
      <c r="R1858" s="69"/>
      <c r="S1858" s="69"/>
      <c r="T1858" s="69"/>
      <c r="U1858" s="69"/>
      <c r="V1858" s="69"/>
      <c r="W1858" s="69"/>
    </row>
    <row r="1859" spans="1:23" x14ac:dyDescent="0.3">
      <c r="G1859" s="69"/>
      <c r="H1859" s="69"/>
      <c r="I1859" s="69"/>
      <c r="J1859" s="69"/>
      <c r="K1859" s="69"/>
      <c r="L1859" s="69"/>
      <c r="M1859" s="69"/>
      <c r="N1859" s="69"/>
      <c r="O1859" s="69"/>
      <c r="P1859" s="69"/>
      <c r="Q1859" s="69"/>
      <c r="R1859" s="69"/>
      <c r="S1859" s="69"/>
      <c r="T1859" s="69"/>
      <c r="U1859" s="69"/>
      <c r="V1859" s="69"/>
      <c r="W1859" s="69"/>
    </row>
    <row r="1860" spans="1:23" ht="21" x14ac:dyDescent="0.4">
      <c r="A1860" s="48"/>
      <c r="G1860" s="69"/>
      <c r="H1860" s="69"/>
      <c r="I1860" s="69"/>
      <c r="J1860" s="69"/>
      <c r="K1860" s="69"/>
      <c r="L1860" s="69"/>
      <c r="M1860" s="69"/>
      <c r="N1860" s="69"/>
      <c r="O1860" s="69"/>
      <c r="P1860" s="69"/>
      <c r="Q1860" s="69"/>
      <c r="R1860" s="69"/>
      <c r="S1860" s="69"/>
      <c r="T1860" s="69"/>
      <c r="U1860" s="69"/>
      <c r="V1860" s="69"/>
      <c r="W1860" s="69"/>
    </row>
    <row r="1861" spans="1:23" x14ac:dyDescent="0.3">
      <c r="G1861" s="69"/>
      <c r="H1861" s="69"/>
      <c r="I1861" s="69"/>
      <c r="J1861" s="69"/>
      <c r="K1861" s="69"/>
      <c r="L1861" s="69"/>
      <c r="M1861" s="69"/>
      <c r="N1861" s="69"/>
      <c r="O1861" s="69"/>
      <c r="P1861" s="69"/>
      <c r="Q1861" s="69"/>
      <c r="R1861" s="69"/>
      <c r="S1861" s="69"/>
      <c r="T1861" s="69"/>
      <c r="U1861" s="69"/>
      <c r="V1861" s="69"/>
      <c r="W1861" s="69"/>
    </row>
    <row r="1862" spans="1:23" x14ac:dyDescent="0.3">
      <c r="G1862" s="69"/>
      <c r="H1862" s="69"/>
      <c r="I1862" s="69"/>
      <c r="J1862" s="69"/>
      <c r="K1862" s="69"/>
      <c r="L1862" s="69"/>
      <c r="M1862" s="69"/>
      <c r="N1862" s="69"/>
      <c r="O1862" s="69"/>
      <c r="P1862" s="69"/>
      <c r="Q1862" s="69"/>
      <c r="R1862" s="69"/>
      <c r="S1862" s="69"/>
      <c r="T1862" s="69"/>
      <c r="U1862" s="69"/>
      <c r="V1862" s="69"/>
      <c r="W1862" s="69"/>
    </row>
    <row r="1863" spans="1:23" x14ac:dyDescent="0.3">
      <c r="G1863" s="69"/>
      <c r="H1863" s="69"/>
      <c r="I1863" s="69"/>
      <c r="J1863" s="69"/>
      <c r="K1863" s="69"/>
      <c r="L1863" s="69"/>
      <c r="M1863" s="69"/>
      <c r="N1863" s="69"/>
      <c r="O1863" s="69"/>
      <c r="P1863" s="69"/>
      <c r="Q1863" s="69"/>
      <c r="R1863" s="69"/>
      <c r="S1863" s="69"/>
      <c r="T1863" s="69"/>
      <c r="U1863" s="69"/>
      <c r="V1863" s="69"/>
      <c r="W1863" s="69"/>
    </row>
    <row r="1864" spans="1:23" x14ac:dyDescent="0.3">
      <c r="G1864" s="69"/>
      <c r="H1864" s="69"/>
      <c r="I1864" s="69"/>
      <c r="J1864" s="69"/>
      <c r="K1864" s="69"/>
      <c r="L1864" s="69"/>
      <c r="M1864" s="69"/>
      <c r="N1864" s="69"/>
      <c r="O1864" s="69"/>
      <c r="P1864" s="69"/>
      <c r="Q1864" s="69"/>
      <c r="R1864" s="69"/>
      <c r="S1864" s="69"/>
      <c r="T1864" s="69"/>
      <c r="U1864" s="69"/>
      <c r="V1864" s="69"/>
      <c r="W1864" s="69"/>
    </row>
    <row r="1865" spans="1:23" x14ac:dyDescent="0.3">
      <c r="G1865" s="69"/>
      <c r="H1865" s="69"/>
      <c r="I1865" s="69"/>
      <c r="J1865" s="69"/>
      <c r="K1865" s="69"/>
      <c r="L1865" s="69"/>
      <c r="M1865" s="69"/>
      <c r="N1865" s="69"/>
      <c r="O1865" s="69"/>
      <c r="P1865" s="69"/>
      <c r="Q1865" s="69"/>
      <c r="R1865" s="69"/>
      <c r="S1865" s="69"/>
      <c r="T1865" s="69"/>
      <c r="U1865" s="69"/>
      <c r="V1865" s="69"/>
      <c r="W1865" s="69"/>
    </row>
    <row r="1866" spans="1:23" x14ac:dyDescent="0.3">
      <c r="G1866" s="69"/>
      <c r="H1866" s="69"/>
      <c r="I1866" s="69"/>
      <c r="J1866" s="69"/>
      <c r="K1866" s="69"/>
      <c r="L1866" s="69"/>
      <c r="M1866" s="69"/>
      <c r="N1866" s="69"/>
      <c r="O1866" s="69"/>
      <c r="P1866" s="69"/>
      <c r="Q1866" s="69"/>
      <c r="R1866" s="69"/>
      <c r="S1866" s="69"/>
      <c r="T1866" s="69"/>
      <c r="U1866" s="69"/>
      <c r="V1866" s="69"/>
      <c r="W1866" s="69"/>
    </row>
    <row r="1867" spans="1:23" x14ac:dyDescent="0.3">
      <c r="G1867" s="69"/>
      <c r="H1867" s="69"/>
      <c r="I1867" s="69"/>
      <c r="J1867" s="69"/>
      <c r="K1867" s="69"/>
      <c r="L1867" s="69"/>
      <c r="M1867" s="69"/>
      <c r="N1867" s="69"/>
      <c r="O1867" s="69"/>
      <c r="P1867" s="69"/>
      <c r="Q1867" s="69"/>
      <c r="R1867" s="69"/>
      <c r="S1867" s="69"/>
      <c r="T1867" s="69"/>
      <c r="U1867" s="69"/>
      <c r="V1867" s="69"/>
      <c r="W1867" s="69"/>
    </row>
    <row r="1868" spans="1:23" x14ac:dyDescent="0.3">
      <c r="G1868" s="69"/>
      <c r="H1868" s="69"/>
      <c r="I1868" s="69"/>
      <c r="J1868" s="69"/>
      <c r="K1868" s="69"/>
      <c r="L1868" s="69"/>
      <c r="M1868" s="69"/>
      <c r="N1868" s="69"/>
      <c r="O1868" s="69"/>
      <c r="P1868" s="69"/>
      <c r="Q1868" s="69"/>
      <c r="R1868" s="69"/>
      <c r="S1868" s="69"/>
      <c r="T1868" s="69"/>
      <c r="U1868" s="69"/>
      <c r="V1868" s="69"/>
      <c r="W1868" s="69"/>
    </row>
    <row r="1869" spans="1:23" x14ac:dyDescent="0.3">
      <c r="G1869" s="69"/>
      <c r="H1869" s="69"/>
      <c r="I1869" s="69"/>
      <c r="J1869" s="69"/>
      <c r="K1869" s="69"/>
      <c r="L1869" s="69"/>
      <c r="M1869" s="69"/>
      <c r="N1869" s="69"/>
      <c r="O1869" s="69"/>
      <c r="P1869" s="69"/>
      <c r="Q1869" s="69"/>
      <c r="R1869" s="69"/>
      <c r="S1869" s="69"/>
      <c r="T1869" s="69"/>
      <c r="U1869" s="69"/>
      <c r="V1869" s="69"/>
      <c r="W1869" s="69"/>
    </row>
    <row r="1870" spans="1:23" x14ac:dyDescent="0.3">
      <c r="G1870" s="69"/>
      <c r="H1870" s="69"/>
      <c r="I1870" s="69"/>
      <c r="J1870" s="69"/>
      <c r="K1870" s="69"/>
      <c r="L1870" s="69"/>
      <c r="M1870" s="69"/>
      <c r="N1870" s="69"/>
      <c r="O1870" s="69"/>
      <c r="P1870" s="69"/>
      <c r="Q1870" s="69"/>
      <c r="R1870" s="69"/>
      <c r="S1870" s="69"/>
      <c r="T1870" s="69"/>
      <c r="U1870" s="69"/>
      <c r="V1870" s="69"/>
      <c r="W1870" s="69"/>
    </row>
    <row r="1871" spans="1:23" x14ac:dyDescent="0.3">
      <c r="G1871" s="69"/>
      <c r="H1871" s="69"/>
      <c r="I1871" s="69"/>
      <c r="J1871" s="69"/>
      <c r="K1871" s="69"/>
      <c r="L1871" s="69"/>
      <c r="M1871" s="69"/>
      <c r="N1871" s="69"/>
      <c r="O1871" s="69"/>
      <c r="P1871" s="69"/>
      <c r="Q1871" s="69"/>
      <c r="R1871" s="69"/>
      <c r="S1871" s="69"/>
      <c r="T1871" s="69"/>
      <c r="U1871" s="69"/>
      <c r="V1871" s="69"/>
      <c r="W1871" s="69"/>
    </row>
    <row r="1872" spans="1:23" x14ac:dyDescent="0.3">
      <c r="G1872" s="69"/>
      <c r="H1872" s="69"/>
      <c r="I1872" s="69"/>
      <c r="J1872" s="69"/>
      <c r="K1872" s="69"/>
      <c r="L1872" s="69"/>
      <c r="M1872" s="69"/>
      <c r="N1872" s="69"/>
      <c r="O1872" s="69"/>
      <c r="P1872" s="69"/>
      <c r="Q1872" s="69"/>
      <c r="R1872" s="69"/>
      <c r="S1872" s="69"/>
      <c r="T1872" s="69"/>
      <c r="U1872" s="69"/>
      <c r="V1872" s="69"/>
      <c r="W1872" s="69"/>
    </row>
    <row r="1873" spans="7:23" x14ac:dyDescent="0.3">
      <c r="G1873" s="69"/>
      <c r="H1873" s="69"/>
      <c r="I1873" s="69"/>
      <c r="J1873" s="69"/>
      <c r="K1873" s="69"/>
      <c r="L1873" s="69"/>
      <c r="M1873" s="69"/>
      <c r="N1873" s="69"/>
      <c r="O1873" s="69"/>
      <c r="P1873" s="69"/>
      <c r="Q1873" s="69"/>
      <c r="R1873" s="69"/>
      <c r="S1873" s="69"/>
      <c r="T1873" s="69"/>
      <c r="U1873" s="69"/>
      <c r="V1873" s="69"/>
      <c r="W1873" s="69"/>
    </row>
    <row r="1874" spans="7:23" x14ac:dyDescent="0.3">
      <c r="G1874" s="69"/>
      <c r="H1874" s="69"/>
      <c r="I1874" s="69"/>
      <c r="J1874" s="69"/>
      <c r="K1874" s="69"/>
      <c r="L1874" s="69"/>
      <c r="M1874" s="69"/>
      <c r="N1874" s="69"/>
      <c r="O1874" s="69"/>
      <c r="P1874" s="69"/>
      <c r="Q1874" s="69"/>
      <c r="R1874" s="69"/>
      <c r="S1874" s="69"/>
      <c r="T1874" s="69"/>
      <c r="U1874" s="69"/>
      <c r="V1874" s="69"/>
      <c r="W1874" s="69"/>
    </row>
    <row r="1875" spans="7:23" x14ac:dyDescent="0.3">
      <c r="G1875" s="69"/>
      <c r="H1875" s="69"/>
      <c r="I1875" s="69"/>
      <c r="J1875" s="69"/>
      <c r="K1875" s="69"/>
      <c r="L1875" s="69"/>
      <c r="M1875" s="69"/>
      <c r="N1875" s="69"/>
      <c r="O1875" s="69"/>
      <c r="P1875" s="69"/>
      <c r="Q1875" s="69"/>
      <c r="R1875" s="69"/>
      <c r="S1875" s="69"/>
      <c r="T1875" s="69"/>
      <c r="U1875" s="69"/>
      <c r="V1875" s="69"/>
      <c r="W1875" s="69"/>
    </row>
    <row r="1876" spans="7:23" x14ac:dyDescent="0.3">
      <c r="G1876" s="69"/>
      <c r="H1876" s="69"/>
      <c r="I1876" s="69"/>
      <c r="J1876" s="69"/>
      <c r="K1876" s="69"/>
      <c r="L1876" s="69"/>
      <c r="M1876" s="69"/>
      <c r="N1876" s="69"/>
      <c r="O1876" s="69"/>
      <c r="P1876" s="69"/>
      <c r="Q1876" s="69"/>
      <c r="R1876" s="69"/>
      <c r="S1876" s="69"/>
      <c r="T1876" s="69"/>
      <c r="U1876" s="69"/>
      <c r="V1876" s="69"/>
      <c r="W1876" s="69"/>
    </row>
    <row r="1877" spans="7:23" x14ac:dyDescent="0.3">
      <c r="G1877" s="69"/>
      <c r="H1877" s="69"/>
      <c r="I1877" s="69"/>
      <c r="J1877" s="69"/>
      <c r="K1877" s="69"/>
      <c r="L1877" s="69"/>
      <c r="M1877" s="69"/>
      <c r="N1877" s="69"/>
      <c r="O1877" s="69"/>
      <c r="P1877" s="69"/>
      <c r="Q1877" s="69"/>
      <c r="R1877" s="69"/>
      <c r="S1877" s="69"/>
      <c r="T1877" s="69"/>
      <c r="U1877" s="69"/>
      <c r="V1877" s="69"/>
      <c r="W1877" s="69"/>
    </row>
    <row r="1878" spans="7:23" x14ac:dyDescent="0.3">
      <c r="G1878" s="69"/>
      <c r="H1878" s="69"/>
      <c r="I1878" s="69"/>
      <c r="J1878" s="69"/>
      <c r="K1878" s="69"/>
      <c r="L1878" s="69"/>
      <c r="M1878" s="69"/>
      <c r="N1878" s="69"/>
      <c r="O1878" s="69"/>
      <c r="P1878" s="69"/>
      <c r="Q1878" s="69"/>
      <c r="R1878" s="69"/>
      <c r="S1878" s="69"/>
      <c r="T1878" s="69"/>
      <c r="U1878" s="69"/>
      <c r="V1878" s="69"/>
      <c r="W1878" s="69"/>
    </row>
    <row r="1879" spans="7:23" x14ac:dyDescent="0.3">
      <c r="G1879" s="69"/>
      <c r="H1879" s="69"/>
      <c r="I1879" s="69"/>
      <c r="J1879" s="69"/>
      <c r="K1879" s="69"/>
      <c r="L1879" s="69"/>
      <c r="M1879" s="69"/>
      <c r="N1879" s="69"/>
      <c r="O1879" s="69"/>
      <c r="P1879" s="69"/>
      <c r="Q1879" s="69"/>
      <c r="R1879" s="69"/>
      <c r="S1879" s="69"/>
      <c r="T1879" s="69"/>
      <c r="U1879" s="69"/>
      <c r="V1879" s="69"/>
      <c r="W1879" s="69"/>
    </row>
    <row r="1880" spans="7:23" x14ac:dyDescent="0.3">
      <c r="G1880" s="69"/>
      <c r="H1880" s="69"/>
      <c r="I1880" s="69"/>
      <c r="J1880" s="69"/>
      <c r="K1880" s="69"/>
      <c r="L1880" s="69"/>
      <c r="M1880" s="69"/>
      <c r="N1880" s="69"/>
      <c r="O1880" s="69"/>
      <c r="P1880" s="69"/>
      <c r="Q1880" s="69"/>
      <c r="R1880" s="69"/>
      <c r="S1880" s="69"/>
      <c r="T1880" s="69"/>
      <c r="U1880" s="69"/>
      <c r="V1880" s="69"/>
      <c r="W1880" s="69"/>
    </row>
    <row r="1881" spans="7:23" x14ac:dyDescent="0.3">
      <c r="G1881" s="69"/>
      <c r="H1881" s="69"/>
      <c r="I1881" s="69"/>
      <c r="J1881" s="69"/>
      <c r="K1881" s="69"/>
      <c r="L1881" s="69"/>
      <c r="M1881" s="69"/>
      <c r="N1881" s="69"/>
      <c r="O1881" s="69"/>
      <c r="P1881" s="69"/>
      <c r="Q1881" s="69"/>
      <c r="R1881" s="69"/>
      <c r="S1881" s="69"/>
      <c r="T1881" s="69"/>
      <c r="U1881" s="69"/>
      <c r="V1881" s="69"/>
      <c r="W1881" s="69"/>
    </row>
    <row r="1882" spans="7:23" x14ac:dyDescent="0.3">
      <c r="G1882" s="69"/>
      <c r="H1882" s="69"/>
      <c r="I1882" s="69"/>
      <c r="J1882" s="69"/>
      <c r="K1882" s="69"/>
      <c r="L1882" s="69"/>
      <c r="M1882" s="69"/>
      <c r="N1882" s="69"/>
      <c r="O1882" s="69"/>
      <c r="P1882" s="69"/>
      <c r="Q1882" s="69"/>
      <c r="R1882" s="69"/>
      <c r="S1882" s="69"/>
      <c r="T1882" s="69"/>
      <c r="U1882" s="69"/>
      <c r="V1882" s="69"/>
      <c r="W1882" s="69"/>
    </row>
    <row r="1883" spans="7:23" x14ac:dyDescent="0.3">
      <c r="G1883" s="69"/>
      <c r="H1883" s="69"/>
      <c r="I1883" s="69"/>
      <c r="J1883" s="69"/>
      <c r="K1883" s="69"/>
      <c r="L1883" s="69"/>
      <c r="M1883" s="69"/>
      <c r="N1883" s="69"/>
      <c r="O1883" s="69"/>
      <c r="P1883" s="69"/>
      <c r="Q1883" s="69"/>
      <c r="R1883" s="69"/>
      <c r="S1883" s="69"/>
      <c r="T1883" s="69"/>
      <c r="U1883" s="69"/>
      <c r="V1883" s="69"/>
      <c r="W1883" s="69"/>
    </row>
    <row r="1884" spans="7:23" x14ac:dyDescent="0.3">
      <c r="G1884" s="69"/>
      <c r="H1884" s="69"/>
      <c r="I1884" s="69"/>
      <c r="J1884" s="69"/>
      <c r="K1884" s="69"/>
      <c r="L1884" s="69"/>
      <c r="M1884" s="69"/>
      <c r="N1884" s="69"/>
      <c r="O1884" s="69"/>
      <c r="P1884" s="69"/>
      <c r="Q1884" s="69"/>
      <c r="R1884" s="69"/>
      <c r="S1884" s="69"/>
      <c r="T1884" s="69"/>
      <c r="U1884" s="69"/>
      <c r="V1884" s="69"/>
      <c r="W1884" s="69"/>
    </row>
    <row r="1885" spans="7:23" x14ac:dyDescent="0.3">
      <c r="G1885" s="69"/>
      <c r="H1885" s="69"/>
      <c r="I1885" s="69"/>
      <c r="J1885" s="69"/>
      <c r="K1885" s="69"/>
      <c r="L1885" s="69"/>
      <c r="M1885" s="69"/>
      <c r="N1885" s="69"/>
      <c r="O1885" s="69"/>
      <c r="P1885" s="69"/>
      <c r="Q1885" s="69"/>
      <c r="R1885" s="69"/>
      <c r="S1885" s="69"/>
      <c r="T1885" s="69"/>
      <c r="U1885" s="69"/>
      <c r="V1885" s="69"/>
      <c r="W1885" s="69"/>
    </row>
    <row r="1886" spans="7:23" x14ac:dyDescent="0.3">
      <c r="G1886" s="69"/>
      <c r="H1886" s="69"/>
      <c r="I1886" s="69"/>
      <c r="J1886" s="69"/>
      <c r="K1886" s="69"/>
      <c r="L1886" s="69"/>
      <c r="M1886" s="69"/>
      <c r="N1886" s="69"/>
      <c r="O1886" s="69"/>
      <c r="P1886" s="69"/>
      <c r="Q1886" s="69"/>
      <c r="R1886" s="69"/>
      <c r="S1886" s="69"/>
      <c r="T1886" s="69"/>
      <c r="U1886" s="69"/>
      <c r="V1886" s="69"/>
      <c r="W1886" s="69"/>
    </row>
    <row r="1887" spans="7:23" x14ac:dyDescent="0.3">
      <c r="G1887" s="69"/>
      <c r="H1887" s="69"/>
      <c r="I1887" s="69"/>
      <c r="J1887" s="69"/>
      <c r="K1887" s="69"/>
      <c r="L1887" s="69"/>
      <c r="M1887" s="69"/>
      <c r="N1887" s="69"/>
      <c r="O1887" s="69"/>
      <c r="P1887" s="69"/>
      <c r="Q1887" s="69"/>
      <c r="R1887" s="69"/>
      <c r="S1887" s="69"/>
      <c r="T1887" s="69"/>
      <c r="U1887" s="69"/>
      <c r="V1887" s="69"/>
      <c r="W1887" s="69"/>
    </row>
    <row r="1888" spans="7:23" x14ac:dyDescent="0.3">
      <c r="G1888" s="69"/>
      <c r="H1888" s="69"/>
      <c r="I1888" s="69"/>
      <c r="J1888" s="69"/>
      <c r="K1888" s="69"/>
      <c r="L1888" s="69"/>
      <c r="M1888" s="69"/>
      <c r="N1888" s="69"/>
      <c r="O1888" s="69"/>
      <c r="P1888" s="69"/>
      <c r="Q1888" s="69"/>
      <c r="R1888" s="69"/>
      <c r="S1888" s="69"/>
      <c r="T1888" s="69"/>
      <c r="U1888" s="69"/>
      <c r="V1888" s="69"/>
      <c r="W1888" s="69"/>
    </row>
    <row r="1889" spans="7:23" x14ac:dyDescent="0.3">
      <c r="G1889" s="69"/>
      <c r="H1889" s="69"/>
      <c r="I1889" s="69"/>
      <c r="J1889" s="69"/>
      <c r="K1889" s="69"/>
      <c r="L1889" s="69"/>
      <c r="M1889" s="69"/>
      <c r="N1889" s="69"/>
      <c r="O1889" s="69"/>
      <c r="P1889" s="69"/>
      <c r="Q1889" s="69"/>
      <c r="R1889" s="69"/>
      <c r="S1889" s="69"/>
      <c r="T1889" s="69"/>
      <c r="U1889" s="69"/>
      <c r="V1889" s="69"/>
      <c r="W1889" s="69"/>
    </row>
    <row r="1890" spans="7:23" x14ac:dyDescent="0.3">
      <c r="G1890" s="69"/>
      <c r="H1890" s="69"/>
      <c r="I1890" s="69"/>
      <c r="J1890" s="69"/>
      <c r="K1890" s="69"/>
      <c r="L1890" s="69"/>
      <c r="M1890" s="69"/>
      <c r="N1890" s="69"/>
      <c r="O1890" s="69"/>
      <c r="P1890" s="69"/>
      <c r="Q1890" s="69"/>
      <c r="R1890" s="69"/>
      <c r="S1890" s="69"/>
      <c r="T1890" s="69"/>
      <c r="U1890" s="69"/>
      <c r="V1890" s="69"/>
      <c r="W1890" s="69"/>
    </row>
    <row r="1891" spans="7:23" x14ac:dyDescent="0.3">
      <c r="G1891" s="69"/>
      <c r="H1891" s="69"/>
      <c r="I1891" s="69"/>
      <c r="J1891" s="69"/>
      <c r="K1891" s="69"/>
      <c r="L1891" s="69"/>
      <c r="M1891" s="69"/>
      <c r="N1891" s="69"/>
      <c r="O1891" s="69"/>
      <c r="P1891" s="69"/>
      <c r="Q1891" s="69"/>
      <c r="R1891" s="69"/>
      <c r="S1891" s="69"/>
      <c r="T1891" s="69"/>
      <c r="U1891" s="69"/>
      <c r="V1891" s="69"/>
      <c r="W1891" s="69"/>
    </row>
    <row r="1892" spans="7:23" x14ac:dyDescent="0.3">
      <c r="G1892" s="69"/>
      <c r="H1892" s="69"/>
      <c r="I1892" s="69"/>
      <c r="J1892" s="69"/>
      <c r="K1892" s="69"/>
      <c r="L1892" s="69"/>
      <c r="M1892" s="69"/>
      <c r="N1892" s="69"/>
      <c r="O1892" s="69"/>
      <c r="P1892" s="69"/>
      <c r="Q1892" s="69"/>
      <c r="R1892" s="69"/>
      <c r="S1892" s="69"/>
      <c r="T1892" s="69"/>
      <c r="U1892" s="69"/>
      <c r="V1892" s="69"/>
      <c r="W1892" s="69"/>
    </row>
    <row r="1893" spans="7:23" x14ac:dyDescent="0.3">
      <c r="G1893" s="69"/>
      <c r="H1893" s="69"/>
      <c r="I1893" s="69"/>
      <c r="J1893" s="69"/>
      <c r="K1893" s="69"/>
      <c r="L1893" s="69"/>
      <c r="M1893" s="69"/>
      <c r="N1893" s="69"/>
      <c r="O1893" s="69"/>
      <c r="P1893" s="69"/>
      <c r="Q1893" s="69"/>
      <c r="R1893" s="69"/>
      <c r="S1893" s="69"/>
      <c r="T1893" s="69"/>
      <c r="U1893" s="69"/>
      <c r="V1893" s="69"/>
      <c r="W1893" s="69"/>
    </row>
    <row r="1894" spans="7:23" x14ac:dyDescent="0.3">
      <c r="G1894" s="69"/>
      <c r="H1894" s="69"/>
      <c r="I1894" s="69"/>
      <c r="J1894" s="69"/>
      <c r="K1894" s="69"/>
      <c r="L1894" s="69"/>
      <c r="M1894" s="69"/>
      <c r="N1894" s="69"/>
      <c r="O1894" s="69"/>
      <c r="P1894" s="69"/>
      <c r="Q1894" s="69"/>
      <c r="R1894" s="69"/>
      <c r="S1894" s="69"/>
      <c r="T1894" s="69"/>
      <c r="U1894" s="69"/>
      <c r="V1894" s="69"/>
      <c r="W1894" s="69"/>
    </row>
    <row r="1895" spans="7:23" x14ac:dyDescent="0.3">
      <c r="G1895" s="69"/>
      <c r="H1895" s="69"/>
      <c r="I1895" s="69"/>
      <c r="J1895" s="69"/>
      <c r="K1895" s="69"/>
      <c r="L1895" s="69"/>
      <c r="M1895" s="69"/>
      <c r="N1895" s="69"/>
      <c r="O1895" s="69"/>
      <c r="P1895" s="69"/>
      <c r="Q1895" s="69"/>
      <c r="R1895" s="69"/>
      <c r="S1895" s="69"/>
      <c r="T1895" s="69"/>
      <c r="U1895" s="69"/>
      <c r="V1895" s="69"/>
      <c r="W1895" s="69"/>
    </row>
    <row r="1896" spans="7:23" x14ac:dyDescent="0.3">
      <c r="G1896" s="69"/>
      <c r="H1896" s="69"/>
      <c r="I1896" s="69"/>
      <c r="J1896" s="69"/>
      <c r="K1896" s="69"/>
      <c r="L1896" s="69"/>
      <c r="M1896" s="69"/>
      <c r="N1896" s="69"/>
      <c r="O1896" s="69"/>
      <c r="P1896" s="69"/>
      <c r="Q1896" s="69"/>
      <c r="R1896" s="69"/>
      <c r="S1896" s="69"/>
      <c r="T1896" s="69"/>
      <c r="U1896" s="69"/>
      <c r="V1896" s="69"/>
      <c r="W1896" s="69"/>
    </row>
    <row r="1897" spans="7:23" x14ac:dyDescent="0.3">
      <c r="G1897" s="69"/>
      <c r="H1897" s="69"/>
      <c r="I1897" s="69"/>
      <c r="J1897" s="69"/>
      <c r="K1897" s="69"/>
      <c r="L1897" s="69"/>
      <c r="M1897" s="69"/>
      <c r="N1897" s="69"/>
      <c r="O1897" s="69"/>
      <c r="P1897" s="69"/>
      <c r="Q1897" s="69"/>
      <c r="R1897" s="69"/>
      <c r="S1897" s="69"/>
      <c r="T1897" s="69"/>
      <c r="U1897" s="69"/>
      <c r="V1897" s="69"/>
      <c r="W1897" s="69"/>
    </row>
    <row r="1898" spans="7:23" x14ac:dyDescent="0.3">
      <c r="G1898" s="69"/>
      <c r="H1898" s="69"/>
      <c r="I1898" s="69"/>
      <c r="J1898" s="69"/>
      <c r="K1898" s="69"/>
      <c r="L1898" s="69"/>
      <c r="M1898" s="69"/>
      <c r="N1898" s="69"/>
      <c r="O1898" s="69"/>
      <c r="P1898" s="69"/>
      <c r="Q1898" s="69"/>
      <c r="R1898" s="69"/>
      <c r="S1898" s="69"/>
      <c r="T1898" s="69"/>
      <c r="U1898" s="69"/>
      <c r="V1898" s="69"/>
      <c r="W1898" s="69"/>
    </row>
    <row r="1899" spans="7:23" x14ac:dyDescent="0.3">
      <c r="G1899" s="69"/>
      <c r="H1899" s="69"/>
      <c r="I1899" s="69"/>
      <c r="J1899" s="69"/>
      <c r="K1899" s="69"/>
      <c r="L1899" s="69"/>
      <c r="M1899" s="69"/>
      <c r="N1899" s="69"/>
      <c r="O1899" s="69"/>
      <c r="P1899" s="69"/>
      <c r="Q1899" s="69"/>
      <c r="R1899" s="69"/>
      <c r="S1899" s="69"/>
      <c r="T1899" s="69"/>
      <c r="U1899" s="69"/>
      <c r="V1899" s="69"/>
      <c r="W1899" s="69"/>
    </row>
    <row r="1900" spans="7:23" x14ac:dyDescent="0.3">
      <c r="G1900" s="69"/>
      <c r="H1900" s="69"/>
      <c r="I1900" s="69"/>
      <c r="J1900" s="69"/>
      <c r="K1900" s="69"/>
      <c r="L1900" s="69"/>
      <c r="M1900" s="69"/>
      <c r="N1900" s="69"/>
      <c r="O1900" s="69"/>
      <c r="P1900" s="69"/>
      <c r="Q1900" s="69"/>
      <c r="R1900" s="69"/>
      <c r="S1900" s="69"/>
      <c r="T1900" s="69"/>
      <c r="U1900" s="69"/>
      <c r="V1900" s="69"/>
      <c r="W1900" s="69"/>
    </row>
    <row r="1901" spans="7:23" x14ac:dyDescent="0.3">
      <c r="G1901" s="69"/>
      <c r="H1901" s="69"/>
      <c r="I1901" s="69"/>
      <c r="J1901" s="69"/>
      <c r="K1901" s="69"/>
      <c r="L1901" s="69"/>
      <c r="M1901" s="69"/>
      <c r="N1901" s="69"/>
      <c r="O1901" s="69"/>
      <c r="P1901" s="69"/>
      <c r="Q1901" s="69"/>
      <c r="R1901" s="69"/>
      <c r="S1901" s="69"/>
      <c r="T1901" s="69"/>
      <c r="U1901" s="69"/>
      <c r="V1901" s="69"/>
      <c r="W1901" s="69"/>
    </row>
    <row r="1902" spans="7:23" x14ac:dyDescent="0.3">
      <c r="G1902" s="69"/>
      <c r="H1902" s="69"/>
      <c r="I1902" s="69"/>
      <c r="J1902" s="69"/>
      <c r="K1902" s="69"/>
      <c r="L1902" s="69"/>
      <c r="M1902" s="69"/>
      <c r="N1902" s="69"/>
      <c r="O1902" s="69"/>
      <c r="P1902" s="69"/>
      <c r="Q1902" s="69"/>
      <c r="R1902" s="69"/>
      <c r="S1902" s="69"/>
      <c r="T1902" s="69"/>
      <c r="U1902" s="69"/>
      <c r="V1902" s="69"/>
      <c r="W1902" s="69"/>
    </row>
    <row r="1903" spans="7:23" x14ac:dyDescent="0.3">
      <c r="G1903" s="69"/>
      <c r="H1903" s="69"/>
      <c r="I1903" s="69"/>
      <c r="J1903" s="69"/>
      <c r="K1903" s="69"/>
      <c r="L1903" s="69"/>
      <c r="M1903" s="69"/>
      <c r="N1903" s="69"/>
      <c r="O1903" s="69"/>
      <c r="P1903" s="69"/>
      <c r="Q1903" s="69"/>
      <c r="R1903" s="69"/>
      <c r="S1903" s="69"/>
      <c r="T1903" s="69"/>
      <c r="U1903" s="69"/>
      <c r="V1903" s="69"/>
      <c r="W1903" s="69"/>
    </row>
    <row r="1904" spans="7:23" x14ac:dyDescent="0.3">
      <c r="G1904" s="69"/>
      <c r="H1904" s="69"/>
      <c r="I1904" s="69"/>
      <c r="J1904" s="69"/>
      <c r="K1904" s="69"/>
      <c r="L1904" s="69"/>
      <c r="M1904" s="69"/>
      <c r="N1904" s="69"/>
      <c r="O1904" s="69"/>
      <c r="P1904" s="69"/>
      <c r="Q1904" s="69"/>
      <c r="R1904" s="69"/>
      <c r="S1904" s="69"/>
      <c r="T1904" s="69"/>
      <c r="U1904" s="69"/>
      <c r="V1904" s="69"/>
      <c r="W1904" s="69"/>
    </row>
    <row r="1905" spans="7:23" x14ac:dyDescent="0.3">
      <c r="G1905" s="69"/>
      <c r="H1905" s="69"/>
      <c r="I1905" s="69"/>
      <c r="J1905" s="69"/>
      <c r="K1905" s="69"/>
      <c r="L1905" s="69"/>
      <c r="M1905" s="69"/>
      <c r="N1905" s="69"/>
      <c r="O1905" s="69"/>
      <c r="P1905" s="69"/>
      <c r="Q1905" s="69"/>
      <c r="R1905" s="69"/>
      <c r="S1905" s="69"/>
      <c r="T1905" s="69"/>
      <c r="U1905" s="69"/>
      <c r="V1905" s="69"/>
      <c r="W1905" s="69"/>
    </row>
    <row r="1906" spans="7:23" x14ac:dyDescent="0.3">
      <c r="G1906" s="69"/>
      <c r="H1906" s="69"/>
      <c r="I1906" s="69"/>
      <c r="J1906" s="69"/>
      <c r="K1906" s="69"/>
      <c r="L1906" s="69"/>
      <c r="M1906" s="69"/>
      <c r="N1906" s="69"/>
      <c r="O1906" s="69"/>
      <c r="P1906" s="69"/>
      <c r="Q1906" s="69"/>
      <c r="R1906" s="69"/>
      <c r="S1906" s="69"/>
      <c r="T1906" s="69"/>
      <c r="U1906" s="69"/>
      <c r="V1906" s="69"/>
      <c r="W1906" s="69"/>
    </row>
    <row r="1907" spans="7:23" x14ac:dyDescent="0.3">
      <c r="G1907" s="69"/>
      <c r="H1907" s="69"/>
      <c r="I1907" s="69"/>
      <c r="J1907" s="69"/>
      <c r="K1907" s="69"/>
      <c r="L1907" s="69"/>
      <c r="M1907" s="69"/>
      <c r="N1907" s="69"/>
      <c r="O1907" s="69"/>
      <c r="P1907" s="69"/>
      <c r="Q1907" s="69"/>
      <c r="R1907" s="69"/>
      <c r="S1907" s="69"/>
      <c r="T1907" s="69"/>
      <c r="U1907" s="69"/>
      <c r="V1907" s="69"/>
      <c r="W1907" s="69"/>
    </row>
    <row r="1908" spans="7:23" x14ac:dyDescent="0.3">
      <c r="G1908" s="69"/>
      <c r="H1908" s="69"/>
      <c r="I1908" s="69"/>
      <c r="J1908" s="69"/>
      <c r="K1908" s="69"/>
      <c r="L1908" s="69"/>
      <c r="M1908" s="69"/>
      <c r="N1908" s="69"/>
      <c r="O1908" s="69"/>
      <c r="P1908" s="69"/>
      <c r="Q1908" s="69"/>
      <c r="R1908" s="69"/>
      <c r="S1908" s="69"/>
      <c r="T1908" s="69"/>
      <c r="U1908" s="69"/>
      <c r="V1908" s="69"/>
      <c r="W1908" s="69"/>
    </row>
    <row r="1909" spans="7:23" x14ac:dyDescent="0.3">
      <c r="G1909" s="69"/>
      <c r="H1909" s="69"/>
      <c r="I1909" s="69"/>
      <c r="J1909" s="69"/>
      <c r="K1909" s="69"/>
      <c r="L1909" s="69"/>
      <c r="M1909" s="69"/>
      <c r="N1909" s="69"/>
      <c r="O1909" s="69"/>
      <c r="P1909" s="69"/>
      <c r="Q1909" s="69"/>
      <c r="R1909" s="69"/>
      <c r="S1909" s="69"/>
      <c r="T1909" s="69"/>
      <c r="U1909" s="69"/>
      <c r="V1909" s="69"/>
      <c r="W1909" s="69"/>
    </row>
    <row r="1910" spans="7:23" x14ac:dyDescent="0.3">
      <c r="G1910" s="69"/>
      <c r="H1910" s="69"/>
      <c r="I1910" s="69"/>
      <c r="J1910" s="69"/>
      <c r="K1910" s="69"/>
      <c r="L1910" s="69"/>
      <c r="M1910" s="69"/>
      <c r="N1910" s="69"/>
      <c r="O1910" s="69"/>
      <c r="P1910" s="69"/>
      <c r="Q1910" s="69"/>
      <c r="R1910" s="69"/>
      <c r="S1910" s="69"/>
      <c r="T1910" s="69"/>
      <c r="U1910" s="69"/>
      <c r="V1910" s="69"/>
      <c r="W1910" s="69"/>
    </row>
    <row r="1911" spans="7:23" x14ac:dyDescent="0.3">
      <c r="G1911" s="69"/>
      <c r="H1911" s="69"/>
      <c r="I1911" s="69"/>
      <c r="J1911" s="69"/>
      <c r="K1911" s="69"/>
      <c r="L1911" s="69"/>
      <c r="M1911" s="69"/>
      <c r="N1911" s="69"/>
      <c r="O1911" s="69"/>
      <c r="P1911" s="69"/>
      <c r="Q1911" s="69"/>
      <c r="R1911" s="69"/>
      <c r="S1911" s="69"/>
      <c r="T1911" s="69"/>
      <c r="U1911" s="69"/>
      <c r="V1911" s="69"/>
      <c r="W1911" s="69"/>
    </row>
    <row r="1912" spans="7:23" x14ac:dyDescent="0.3">
      <c r="G1912" s="69"/>
      <c r="H1912" s="69"/>
      <c r="I1912" s="69"/>
      <c r="J1912" s="69"/>
      <c r="K1912" s="69"/>
      <c r="L1912" s="69"/>
      <c r="M1912" s="69"/>
      <c r="N1912" s="69"/>
      <c r="O1912" s="69"/>
      <c r="P1912" s="69"/>
      <c r="Q1912" s="69"/>
      <c r="R1912" s="69"/>
      <c r="S1912" s="69"/>
      <c r="T1912" s="69"/>
      <c r="U1912" s="69"/>
      <c r="V1912" s="69"/>
      <c r="W1912" s="69"/>
    </row>
    <row r="1913" spans="7:23" x14ac:dyDescent="0.3">
      <c r="G1913" s="69"/>
      <c r="H1913" s="69"/>
      <c r="I1913" s="69"/>
      <c r="J1913" s="69"/>
      <c r="K1913" s="69"/>
      <c r="L1913" s="69"/>
      <c r="M1913" s="69"/>
      <c r="N1913" s="69"/>
      <c r="O1913" s="69"/>
      <c r="P1913" s="69"/>
      <c r="Q1913" s="69"/>
      <c r="R1913" s="69"/>
      <c r="S1913" s="69"/>
      <c r="T1913" s="69"/>
      <c r="U1913" s="69"/>
      <c r="V1913" s="69"/>
      <c r="W1913" s="69"/>
    </row>
    <row r="1914" spans="7:23" x14ac:dyDescent="0.3">
      <c r="G1914" s="69"/>
      <c r="H1914" s="69"/>
      <c r="I1914" s="69"/>
      <c r="J1914" s="69"/>
      <c r="K1914" s="69"/>
      <c r="L1914" s="69"/>
      <c r="M1914" s="69"/>
      <c r="N1914" s="69"/>
      <c r="O1914" s="69"/>
      <c r="P1914" s="69"/>
      <c r="Q1914" s="69"/>
      <c r="R1914" s="69"/>
      <c r="S1914" s="69"/>
      <c r="T1914" s="69"/>
      <c r="U1914" s="69"/>
      <c r="V1914" s="69"/>
      <c r="W1914" s="69"/>
    </row>
    <row r="1915" spans="7:23" x14ac:dyDescent="0.3">
      <c r="G1915" s="69"/>
      <c r="H1915" s="69"/>
      <c r="I1915" s="69"/>
      <c r="J1915" s="69"/>
      <c r="K1915" s="69"/>
      <c r="L1915" s="69"/>
      <c r="M1915" s="69"/>
      <c r="N1915" s="69"/>
      <c r="O1915" s="69"/>
      <c r="P1915" s="69"/>
      <c r="Q1915" s="69"/>
      <c r="R1915" s="69"/>
      <c r="S1915" s="69"/>
      <c r="T1915" s="69"/>
      <c r="U1915" s="69"/>
      <c r="V1915" s="69"/>
      <c r="W1915" s="69"/>
    </row>
    <row r="1916" spans="7:23" x14ac:dyDescent="0.3">
      <c r="G1916" s="69"/>
      <c r="H1916" s="69"/>
      <c r="I1916" s="69"/>
      <c r="J1916" s="69"/>
      <c r="K1916" s="69"/>
      <c r="L1916" s="69"/>
      <c r="M1916" s="69"/>
      <c r="N1916" s="69"/>
      <c r="O1916" s="69"/>
      <c r="P1916" s="69"/>
      <c r="Q1916" s="69"/>
      <c r="R1916" s="69"/>
      <c r="S1916" s="69"/>
      <c r="T1916" s="69"/>
      <c r="U1916" s="69"/>
      <c r="V1916" s="69"/>
      <c r="W1916" s="69"/>
    </row>
    <row r="1917" spans="7:23" x14ac:dyDescent="0.3">
      <c r="G1917" s="69"/>
      <c r="H1917" s="69"/>
      <c r="I1917" s="69"/>
      <c r="J1917" s="69"/>
      <c r="K1917" s="69"/>
      <c r="L1917" s="69"/>
      <c r="M1917" s="69"/>
      <c r="N1917" s="69"/>
      <c r="O1917" s="69"/>
      <c r="P1917" s="69"/>
      <c r="Q1917" s="69"/>
      <c r="R1917" s="69"/>
      <c r="S1917" s="69"/>
      <c r="T1917" s="69"/>
      <c r="U1917" s="69"/>
      <c r="V1917" s="69"/>
      <c r="W1917" s="69"/>
    </row>
    <row r="1918" spans="7:23" x14ac:dyDescent="0.3">
      <c r="G1918" s="69"/>
      <c r="H1918" s="69"/>
      <c r="I1918" s="69"/>
      <c r="J1918" s="69"/>
      <c r="K1918" s="69"/>
      <c r="L1918" s="69"/>
      <c r="M1918" s="69"/>
      <c r="N1918" s="69"/>
      <c r="O1918" s="69"/>
      <c r="P1918" s="69"/>
      <c r="Q1918" s="69"/>
      <c r="R1918" s="69"/>
      <c r="S1918" s="69"/>
      <c r="T1918" s="69"/>
      <c r="U1918" s="69"/>
      <c r="V1918" s="69"/>
      <c r="W1918" s="69"/>
    </row>
    <row r="1919" spans="7:23" x14ac:dyDescent="0.3">
      <c r="G1919" s="69"/>
      <c r="H1919" s="69"/>
      <c r="I1919" s="69"/>
      <c r="J1919" s="69"/>
      <c r="K1919" s="69"/>
      <c r="L1919" s="69"/>
      <c r="M1919" s="69"/>
      <c r="N1919" s="69"/>
      <c r="O1919" s="69"/>
      <c r="P1919" s="69"/>
      <c r="Q1919" s="69"/>
      <c r="R1919" s="69"/>
      <c r="S1919" s="69"/>
      <c r="T1919" s="69"/>
      <c r="U1919" s="69"/>
      <c r="V1919" s="69"/>
      <c r="W1919" s="69"/>
    </row>
    <row r="1920" spans="7:23" x14ac:dyDescent="0.3">
      <c r="G1920" s="69"/>
      <c r="H1920" s="69"/>
      <c r="I1920" s="69"/>
      <c r="J1920" s="69"/>
      <c r="K1920" s="69"/>
      <c r="L1920" s="69"/>
      <c r="M1920" s="69"/>
      <c r="N1920" s="69"/>
      <c r="O1920" s="69"/>
      <c r="P1920" s="69"/>
      <c r="Q1920" s="69"/>
      <c r="R1920" s="69"/>
      <c r="S1920" s="69"/>
      <c r="T1920" s="69"/>
      <c r="U1920" s="69"/>
      <c r="V1920" s="69"/>
      <c r="W1920" s="69"/>
    </row>
    <row r="1921" spans="7:23" x14ac:dyDescent="0.3">
      <c r="G1921" s="69"/>
      <c r="H1921" s="69"/>
      <c r="I1921" s="69"/>
      <c r="J1921" s="69"/>
      <c r="K1921" s="69"/>
      <c r="L1921" s="69"/>
      <c r="M1921" s="69"/>
      <c r="N1921" s="69"/>
      <c r="O1921" s="69"/>
      <c r="P1921" s="69"/>
      <c r="Q1921" s="69"/>
      <c r="R1921" s="69"/>
      <c r="S1921" s="69"/>
      <c r="T1921" s="69"/>
      <c r="U1921" s="69"/>
      <c r="V1921" s="69"/>
      <c r="W1921" s="69"/>
    </row>
    <row r="1922" spans="7:23" x14ac:dyDescent="0.3">
      <c r="G1922" s="69"/>
      <c r="H1922" s="69"/>
      <c r="I1922" s="69"/>
      <c r="J1922" s="69"/>
      <c r="K1922" s="69"/>
      <c r="L1922" s="69"/>
      <c r="M1922" s="69"/>
      <c r="N1922" s="69"/>
      <c r="O1922" s="69"/>
      <c r="P1922" s="69"/>
      <c r="Q1922" s="69"/>
      <c r="R1922" s="69"/>
      <c r="S1922" s="69"/>
      <c r="T1922" s="69"/>
      <c r="U1922" s="69"/>
      <c r="V1922" s="69"/>
      <c r="W1922" s="69"/>
    </row>
    <row r="1923" spans="7:23" x14ac:dyDescent="0.3">
      <c r="G1923" s="69"/>
      <c r="H1923" s="69"/>
      <c r="I1923" s="69"/>
      <c r="J1923" s="69"/>
      <c r="K1923" s="69"/>
      <c r="L1923" s="69"/>
      <c r="M1923" s="69"/>
      <c r="N1923" s="69"/>
      <c r="O1923" s="69"/>
      <c r="P1923" s="69"/>
      <c r="Q1923" s="69"/>
      <c r="R1923" s="69"/>
      <c r="S1923" s="69"/>
      <c r="T1923" s="69"/>
      <c r="U1923" s="69"/>
      <c r="V1923" s="69"/>
      <c r="W1923" s="69"/>
    </row>
    <row r="1924" spans="7:23" x14ac:dyDescent="0.3">
      <c r="G1924" s="69"/>
      <c r="H1924" s="69"/>
      <c r="I1924" s="69"/>
      <c r="J1924" s="69"/>
      <c r="K1924" s="69"/>
      <c r="L1924" s="69"/>
      <c r="M1924" s="69"/>
      <c r="N1924" s="69"/>
      <c r="O1924" s="69"/>
      <c r="P1924" s="69"/>
      <c r="Q1924" s="69"/>
      <c r="R1924" s="69"/>
      <c r="S1924" s="69"/>
      <c r="T1924" s="69"/>
      <c r="U1924" s="69"/>
      <c r="V1924" s="69"/>
      <c r="W1924" s="69"/>
    </row>
    <row r="1925" spans="7:23" x14ac:dyDescent="0.3">
      <c r="G1925" s="69"/>
      <c r="H1925" s="69"/>
      <c r="I1925" s="69"/>
      <c r="J1925" s="69"/>
      <c r="K1925" s="69"/>
      <c r="L1925" s="69"/>
      <c r="M1925" s="69"/>
      <c r="N1925" s="69"/>
      <c r="O1925" s="69"/>
      <c r="P1925" s="69"/>
      <c r="Q1925" s="69"/>
      <c r="R1925" s="69"/>
      <c r="S1925" s="69"/>
      <c r="T1925" s="69"/>
      <c r="U1925" s="69"/>
      <c r="V1925" s="69"/>
      <c r="W1925" s="69"/>
    </row>
    <row r="1926" spans="7:23" x14ac:dyDescent="0.3">
      <c r="G1926" s="69"/>
      <c r="H1926" s="69"/>
      <c r="I1926" s="69"/>
      <c r="J1926" s="69"/>
      <c r="K1926" s="69"/>
      <c r="L1926" s="69"/>
      <c r="M1926" s="69"/>
      <c r="N1926" s="69"/>
      <c r="O1926" s="69"/>
      <c r="P1926" s="69"/>
      <c r="Q1926" s="69"/>
      <c r="R1926" s="69"/>
      <c r="S1926" s="69"/>
      <c r="T1926" s="69"/>
      <c r="U1926" s="69"/>
      <c r="V1926" s="69"/>
      <c r="W1926" s="69"/>
    </row>
    <row r="1927" spans="7:23" x14ac:dyDescent="0.3">
      <c r="G1927" s="69"/>
      <c r="H1927" s="69"/>
      <c r="I1927" s="69"/>
      <c r="J1927" s="69"/>
      <c r="K1927" s="69"/>
      <c r="L1927" s="69"/>
      <c r="M1927" s="69"/>
      <c r="N1927" s="69"/>
      <c r="O1927" s="69"/>
      <c r="P1927" s="69"/>
      <c r="Q1927" s="69"/>
      <c r="R1927" s="69"/>
      <c r="S1927" s="69"/>
      <c r="T1927" s="69"/>
      <c r="U1927" s="69"/>
      <c r="V1927" s="69"/>
      <c r="W1927" s="69"/>
    </row>
    <row r="1928" spans="7:23" x14ac:dyDescent="0.3">
      <c r="G1928" s="69"/>
      <c r="H1928" s="69"/>
      <c r="I1928" s="69"/>
      <c r="J1928" s="69"/>
      <c r="K1928" s="69"/>
      <c r="L1928" s="69"/>
      <c r="M1928" s="69"/>
      <c r="N1928" s="69"/>
      <c r="O1928" s="69"/>
      <c r="P1928" s="69"/>
      <c r="Q1928" s="69"/>
      <c r="R1928" s="69"/>
      <c r="S1928" s="69"/>
      <c r="T1928" s="69"/>
      <c r="U1928" s="69"/>
      <c r="V1928" s="69"/>
      <c r="W1928" s="69"/>
    </row>
    <row r="1929" spans="7:23" x14ac:dyDescent="0.3">
      <c r="G1929" s="69"/>
      <c r="H1929" s="69"/>
      <c r="I1929" s="69"/>
      <c r="J1929" s="69"/>
      <c r="K1929" s="69"/>
      <c r="L1929" s="69"/>
      <c r="M1929" s="69"/>
      <c r="N1929" s="69"/>
      <c r="O1929" s="69"/>
      <c r="P1929" s="69"/>
      <c r="Q1929" s="69"/>
      <c r="R1929" s="69"/>
      <c r="S1929" s="69"/>
      <c r="T1929" s="69"/>
      <c r="U1929" s="69"/>
      <c r="V1929" s="69"/>
      <c r="W1929" s="69"/>
    </row>
    <row r="1930" spans="7:23" x14ac:dyDescent="0.3">
      <c r="G1930" s="69"/>
      <c r="H1930" s="69"/>
      <c r="I1930" s="69"/>
      <c r="J1930" s="69"/>
      <c r="K1930" s="69"/>
      <c r="L1930" s="69"/>
      <c r="M1930" s="69"/>
      <c r="N1930" s="69"/>
      <c r="O1930" s="69"/>
      <c r="P1930" s="69"/>
      <c r="Q1930" s="69"/>
      <c r="R1930" s="69"/>
      <c r="S1930" s="69"/>
      <c r="T1930" s="69"/>
      <c r="U1930" s="69"/>
      <c r="V1930" s="69"/>
      <c r="W1930" s="69"/>
    </row>
    <row r="1931" spans="7:23" x14ac:dyDescent="0.3">
      <c r="G1931" s="69"/>
      <c r="H1931" s="69"/>
      <c r="I1931" s="69"/>
      <c r="J1931" s="69"/>
      <c r="K1931" s="69"/>
      <c r="L1931" s="69"/>
      <c r="M1931" s="69"/>
      <c r="N1931" s="69"/>
      <c r="O1931" s="69"/>
      <c r="P1931" s="69"/>
      <c r="Q1931" s="69"/>
      <c r="R1931" s="69"/>
      <c r="S1931" s="69"/>
      <c r="T1931" s="69"/>
      <c r="U1931" s="69"/>
      <c r="V1931" s="69"/>
      <c r="W1931" s="69"/>
    </row>
    <row r="1932" spans="7:23" x14ac:dyDescent="0.3">
      <c r="G1932" s="69"/>
      <c r="H1932" s="69"/>
      <c r="I1932" s="69"/>
      <c r="J1932" s="69"/>
      <c r="K1932" s="69"/>
      <c r="L1932" s="69"/>
      <c r="M1932" s="69"/>
      <c r="N1932" s="69"/>
      <c r="O1932" s="69"/>
      <c r="P1932" s="69"/>
      <c r="Q1932" s="69"/>
      <c r="R1932" s="69"/>
      <c r="S1932" s="69"/>
      <c r="T1932" s="69"/>
      <c r="U1932" s="69"/>
      <c r="V1932" s="69"/>
      <c r="W1932" s="69"/>
    </row>
    <row r="1933" spans="7:23" x14ac:dyDescent="0.3">
      <c r="G1933" s="69"/>
      <c r="H1933" s="69"/>
      <c r="I1933" s="69"/>
      <c r="J1933" s="69"/>
      <c r="K1933" s="69"/>
      <c r="L1933" s="69"/>
      <c r="M1933" s="69"/>
      <c r="N1933" s="69"/>
      <c r="O1933" s="69"/>
      <c r="P1933" s="69"/>
      <c r="Q1933" s="69"/>
      <c r="R1933" s="69"/>
      <c r="S1933" s="69"/>
      <c r="T1933" s="69"/>
      <c r="U1933" s="69"/>
      <c r="V1933" s="69"/>
      <c r="W1933" s="69"/>
    </row>
    <row r="1934" spans="7:23" x14ac:dyDescent="0.3">
      <c r="G1934" s="69"/>
      <c r="H1934" s="69"/>
      <c r="I1934" s="69"/>
      <c r="J1934" s="69"/>
      <c r="K1934" s="69"/>
      <c r="L1934" s="69"/>
      <c r="M1934" s="69"/>
      <c r="N1934" s="69"/>
      <c r="O1934" s="69"/>
      <c r="P1934" s="69"/>
      <c r="Q1934" s="69"/>
      <c r="R1934" s="69"/>
      <c r="S1934" s="69"/>
      <c r="T1934" s="69"/>
      <c r="U1934" s="69"/>
      <c r="V1934" s="69"/>
      <c r="W1934" s="69"/>
    </row>
    <row r="1935" spans="7:23" x14ac:dyDescent="0.3">
      <c r="G1935" s="69"/>
      <c r="H1935" s="69"/>
      <c r="I1935" s="69"/>
      <c r="J1935" s="69"/>
      <c r="K1935" s="69"/>
      <c r="L1935" s="69"/>
      <c r="M1935" s="69"/>
      <c r="N1935" s="69"/>
      <c r="O1935" s="69"/>
      <c r="P1935" s="69"/>
      <c r="Q1935" s="69"/>
      <c r="R1935" s="69"/>
      <c r="S1935" s="69"/>
      <c r="T1935" s="69"/>
      <c r="U1935" s="69"/>
      <c r="V1935" s="69"/>
      <c r="W1935" s="69"/>
    </row>
    <row r="1936" spans="7:23" x14ac:dyDescent="0.3">
      <c r="G1936" s="69"/>
      <c r="H1936" s="69"/>
      <c r="I1936" s="69"/>
      <c r="J1936" s="69"/>
      <c r="K1936" s="69"/>
      <c r="L1936" s="69"/>
      <c r="M1936" s="69"/>
      <c r="N1936" s="69"/>
      <c r="O1936" s="69"/>
      <c r="P1936" s="69"/>
      <c r="Q1936" s="69"/>
      <c r="R1936" s="69"/>
      <c r="S1936" s="69"/>
      <c r="T1936" s="69"/>
      <c r="U1936" s="69"/>
      <c r="V1936" s="69"/>
      <c r="W1936" s="69"/>
    </row>
    <row r="1937" spans="1:23" x14ac:dyDescent="0.3">
      <c r="G1937" s="69"/>
      <c r="H1937" s="69"/>
      <c r="I1937" s="69"/>
      <c r="J1937" s="69"/>
      <c r="K1937" s="69"/>
      <c r="L1937" s="69"/>
      <c r="M1937" s="69"/>
      <c r="N1937" s="69"/>
      <c r="O1937" s="69"/>
      <c r="P1937" s="69"/>
      <c r="Q1937" s="69"/>
      <c r="R1937" s="69"/>
      <c r="S1937" s="69"/>
      <c r="T1937" s="69"/>
      <c r="U1937" s="69"/>
      <c r="V1937" s="69"/>
      <c r="W1937" s="69"/>
    </row>
    <row r="1938" spans="1:23" x14ac:dyDescent="0.3">
      <c r="G1938" s="69"/>
      <c r="H1938" s="69"/>
      <c r="I1938" s="69"/>
      <c r="J1938" s="69"/>
      <c r="K1938" s="69"/>
      <c r="L1938" s="69"/>
      <c r="M1938" s="69"/>
      <c r="N1938" s="69"/>
      <c r="O1938" s="69"/>
      <c r="P1938" s="69"/>
      <c r="Q1938" s="69"/>
      <c r="R1938" s="69"/>
      <c r="S1938" s="69"/>
      <c r="T1938" s="69"/>
      <c r="U1938" s="69"/>
      <c r="V1938" s="69"/>
      <c r="W1938" s="69"/>
    </row>
    <row r="1939" spans="1:23" x14ac:dyDescent="0.3">
      <c r="G1939" s="69"/>
      <c r="H1939" s="69"/>
      <c r="I1939" s="69"/>
      <c r="J1939" s="69"/>
      <c r="K1939" s="69"/>
      <c r="L1939" s="69"/>
      <c r="M1939" s="69"/>
      <c r="N1939" s="69"/>
      <c r="O1939" s="69"/>
      <c r="P1939" s="69"/>
      <c r="Q1939" s="69"/>
      <c r="R1939" s="69"/>
      <c r="S1939" s="69"/>
      <c r="T1939" s="69"/>
      <c r="U1939" s="69"/>
      <c r="V1939" s="69"/>
      <c r="W1939" s="69"/>
    </row>
    <row r="1940" spans="1:23" ht="21" x14ac:dyDescent="0.4">
      <c r="A1940" s="48"/>
      <c r="G1940" s="69"/>
      <c r="H1940" s="69"/>
      <c r="I1940" s="69"/>
      <c r="J1940" s="69"/>
      <c r="K1940" s="69"/>
      <c r="L1940" s="69"/>
      <c r="M1940" s="69"/>
      <c r="N1940" s="69"/>
      <c r="O1940" s="69"/>
      <c r="P1940" s="69"/>
      <c r="Q1940" s="69"/>
      <c r="R1940" s="69"/>
      <c r="S1940" s="69"/>
      <c r="T1940" s="69"/>
      <c r="U1940" s="69"/>
      <c r="V1940" s="69"/>
      <c r="W1940" s="69"/>
    </row>
    <row r="1941" spans="1:23" x14ac:dyDescent="0.3">
      <c r="G1941" s="69"/>
      <c r="H1941" s="69"/>
      <c r="I1941" s="69"/>
      <c r="J1941" s="69"/>
      <c r="K1941" s="69"/>
      <c r="L1941" s="69"/>
      <c r="M1941" s="69"/>
      <c r="N1941" s="69"/>
      <c r="O1941" s="69"/>
      <c r="P1941" s="69"/>
      <c r="Q1941" s="69"/>
      <c r="R1941" s="69"/>
      <c r="S1941" s="69"/>
      <c r="T1941" s="69"/>
      <c r="U1941" s="69"/>
      <c r="V1941" s="69"/>
      <c r="W1941" s="69"/>
    </row>
    <row r="1942" spans="1:23" x14ac:dyDescent="0.3">
      <c r="G1942" s="69"/>
      <c r="H1942" s="69"/>
      <c r="I1942" s="69"/>
      <c r="J1942" s="69"/>
      <c r="K1942" s="69"/>
      <c r="L1942" s="69"/>
      <c r="M1942" s="69"/>
      <c r="N1942" s="69"/>
      <c r="O1942" s="69"/>
      <c r="P1942" s="69"/>
      <c r="Q1942" s="69"/>
      <c r="R1942" s="69"/>
      <c r="S1942" s="69"/>
      <c r="T1942" s="69"/>
      <c r="U1942" s="69"/>
      <c r="V1942" s="69"/>
      <c r="W1942" s="69"/>
    </row>
    <row r="1943" spans="1:23" x14ac:dyDescent="0.3">
      <c r="G1943" s="69"/>
      <c r="H1943" s="69"/>
      <c r="I1943" s="69"/>
      <c r="J1943" s="69"/>
      <c r="K1943" s="69"/>
      <c r="L1943" s="69"/>
      <c r="M1943" s="69"/>
      <c r="N1943" s="69"/>
      <c r="O1943" s="69"/>
      <c r="P1943" s="69"/>
      <c r="Q1943" s="69"/>
      <c r="R1943" s="69"/>
      <c r="S1943" s="69"/>
      <c r="T1943" s="69"/>
      <c r="U1943" s="69"/>
      <c r="V1943" s="69"/>
      <c r="W1943" s="69"/>
    </row>
    <row r="1944" spans="1:23" x14ac:dyDescent="0.3">
      <c r="G1944" s="69"/>
      <c r="H1944" s="69"/>
      <c r="I1944" s="69"/>
      <c r="J1944" s="69"/>
      <c r="K1944" s="69"/>
      <c r="L1944" s="69"/>
      <c r="M1944" s="69"/>
      <c r="N1944" s="69"/>
      <c r="O1944" s="69"/>
      <c r="P1944" s="69"/>
      <c r="Q1944" s="69"/>
      <c r="R1944" s="69"/>
      <c r="S1944" s="69"/>
      <c r="T1944" s="69"/>
      <c r="U1944" s="69"/>
      <c r="V1944" s="69"/>
      <c r="W1944" s="69"/>
    </row>
    <row r="1945" spans="1:23" x14ac:dyDescent="0.3">
      <c r="G1945" s="69"/>
      <c r="H1945" s="69"/>
      <c r="I1945" s="69"/>
      <c r="J1945" s="69"/>
      <c r="K1945" s="69"/>
      <c r="L1945" s="69"/>
      <c r="M1945" s="69"/>
      <c r="N1945" s="69"/>
      <c r="O1945" s="69"/>
      <c r="P1945" s="69"/>
      <c r="Q1945" s="69"/>
      <c r="R1945" s="69"/>
      <c r="S1945" s="69"/>
      <c r="T1945" s="69"/>
      <c r="U1945" s="69"/>
      <c r="V1945" s="69"/>
      <c r="W1945" s="69"/>
    </row>
    <row r="1946" spans="1:23" x14ac:dyDescent="0.3">
      <c r="G1946" s="69"/>
      <c r="H1946" s="69"/>
      <c r="I1946" s="69"/>
      <c r="J1946" s="69"/>
      <c r="K1946" s="69"/>
      <c r="L1946" s="69"/>
      <c r="M1946" s="69"/>
      <c r="N1946" s="69"/>
      <c r="O1946" s="69"/>
      <c r="P1946" s="69"/>
      <c r="Q1946" s="69"/>
      <c r="R1946" s="69"/>
      <c r="S1946" s="69"/>
      <c r="T1946" s="69"/>
      <c r="U1946" s="69"/>
      <c r="V1946" s="69"/>
      <c r="W1946" s="69"/>
    </row>
    <row r="1947" spans="1:23" x14ac:dyDescent="0.3">
      <c r="G1947" s="69"/>
      <c r="H1947" s="69"/>
      <c r="I1947" s="69"/>
      <c r="J1947" s="69"/>
      <c r="K1947" s="69"/>
      <c r="L1947" s="69"/>
      <c r="M1947" s="69"/>
      <c r="N1947" s="69"/>
      <c r="O1947" s="69"/>
      <c r="P1947" s="69"/>
      <c r="Q1947" s="69"/>
      <c r="R1947" s="69"/>
      <c r="S1947" s="69"/>
      <c r="T1947" s="69"/>
      <c r="U1947" s="69"/>
      <c r="V1947" s="69"/>
      <c r="W1947" s="69"/>
    </row>
    <row r="1948" spans="1:23" x14ac:dyDescent="0.3">
      <c r="G1948" s="69"/>
      <c r="H1948" s="69"/>
      <c r="I1948" s="69"/>
      <c r="J1948" s="69"/>
      <c r="K1948" s="69"/>
      <c r="L1948" s="69"/>
      <c r="M1948" s="69"/>
      <c r="N1948" s="69"/>
      <c r="O1948" s="69"/>
      <c r="P1948" s="69"/>
      <c r="Q1948" s="69"/>
      <c r="R1948" s="69"/>
      <c r="S1948" s="69"/>
      <c r="T1948" s="69"/>
      <c r="U1948" s="69"/>
      <c r="V1948" s="69"/>
      <c r="W1948" s="69"/>
    </row>
    <row r="1949" spans="1:23" x14ac:dyDescent="0.3">
      <c r="G1949" s="69"/>
      <c r="H1949" s="69"/>
      <c r="I1949" s="69"/>
      <c r="J1949" s="69"/>
      <c r="K1949" s="69"/>
      <c r="L1949" s="69"/>
      <c r="M1949" s="69"/>
      <c r="N1949" s="69"/>
      <c r="O1949" s="69"/>
      <c r="P1949" s="69"/>
      <c r="Q1949" s="69"/>
      <c r="R1949" s="69"/>
      <c r="S1949" s="69"/>
      <c r="T1949" s="69"/>
      <c r="U1949" s="69"/>
      <c r="V1949" s="69"/>
      <c r="W1949" s="69"/>
    </row>
    <row r="1950" spans="1:23" x14ac:dyDescent="0.3">
      <c r="G1950" s="69"/>
      <c r="H1950" s="69"/>
      <c r="I1950" s="69"/>
      <c r="J1950" s="69"/>
      <c r="K1950" s="69"/>
      <c r="L1950" s="69"/>
      <c r="M1950" s="69"/>
      <c r="N1950" s="69"/>
      <c r="O1950" s="69"/>
      <c r="P1950" s="69"/>
      <c r="Q1950" s="69"/>
      <c r="R1950" s="69"/>
      <c r="S1950" s="69"/>
      <c r="T1950" s="69"/>
      <c r="U1950" s="69"/>
      <c r="V1950" s="69"/>
      <c r="W1950" s="69"/>
    </row>
    <row r="1951" spans="1:23" x14ac:dyDescent="0.3">
      <c r="G1951" s="69"/>
      <c r="H1951" s="69"/>
      <c r="I1951" s="69"/>
      <c r="J1951" s="69"/>
      <c r="K1951" s="69"/>
      <c r="L1951" s="69"/>
      <c r="M1951" s="69"/>
      <c r="N1951" s="69"/>
      <c r="O1951" s="69"/>
      <c r="P1951" s="69"/>
      <c r="Q1951" s="69"/>
      <c r="R1951" s="69"/>
      <c r="S1951" s="69"/>
      <c r="T1951" s="69"/>
      <c r="U1951" s="69"/>
      <c r="V1951" s="69"/>
      <c r="W1951" s="69"/>
    </row>
    <row r="1952" spans="1:23" x14ac:dyDescent="0.3">
      <c r="G1952" s="69"/>
      <c r="H1952" s="69"/>
      <c r="I1952" s="69"/>
      <c r="J1952" s="69"/>
      <c r="K1952" s="69"/>
      <c r="L1952" s="69"/>
      <c r="M1952" s="69"/>
      <c r="N1952" s="69"/>
      <c r="O1952" s="69"/>
      <c r="P1952" s="69"/>
      <c r="Q1952" s="69"/>
      <c r="R1952" s="69"/>
      <c r="S1952" s="69"/>
      <c r="T1952" s="69"/>
      <c r="U1952" s="69"/>
      <c r="V1952" s="69"/>
      <c r="W1952" s="69"/>
    </row>
    <row r="1953" spans="7:23" x14ac:dyDescent="0.3">
      <c r="G1953" s="69"/>
      <c r="H1953" s="69"/>
      <c r="I1953" s="69"/>
      <c r="J1953" s="69"/>
      <c r="K1953" s="69"/>
      <c r="L1953" s="69"/>
      <c r="M1953" s="69"/>
      <c r="N1953" s="69"/>
      <c r="O1953" s="69"/>
      <c r="P1953" s="69"/>
      <c r="Q1953" s="69"/>
      <c r="R1953" s="69"/>
      <c r="S1953" s="69"/>
      <c r="T1953" s="69"/>
      <c r="U1953" s="69"/>
      <c r="V1953" s="69"/>
      <c r="W1953" s="69"/>
    </row>
    <row r="1954" spans="7:23" x14ac:dyDescent="0.3">
      <c r="G1954" s="69"/>
      <c r="H1954" s="69"/>
      <c r="I1954" s="69"/>
      <c r="J1954" s="69"/>
      <c r="K1954" s="69"/>
      <c r="L1954" s="69"/>
      <c r="M1954" s="69"/>
      <c r="N1954" s="69"/>
      <c r="O1954" s="69"/>
      <c r="P1954" s="69"/>
      <c r="Q1954" s="69"/>
      <c r="R1954" s="69"/>
      <c r="S1954" s="69"/>
      <c r="T1954" s="69"/>
      <c r="U1954" s="69"/>
      <c r="V1954" s="69"/>
      <c r="W1954" s="69"/>
    </row>
    <row r="1955" spans="7:23" x14ac:dyDescent="0.3">
      <c r="G1955" s="69"/>
      <c r="H1955" s="69"/>
      <c r="I1955" s="69"/>
      <c r="J1955" s="69"/>
      <c r="K1955" s="69"/>
      <c r="L1955" s="69"/>
      <c r="M1955" s="69"/>
      <c r="N1955" s="69"/>
      <c r="O1955" s="69"/>
      <c r="P1955" s="69"/>
      <c r="Q1955" s="69"/>
      <c r="R1955" s="69"/>
      <c r="S1955" s="69"/>
      <c r="T1955" s="69"/>
      <c r="U1955" s="69"/>
      <c r="V1955" s="69"/>
      <c r="W1955" s="69"/>
    </row>
    <row r="1956" spans="7:23" x14ac:dyDescent="0.3">
      <c r="G1956" s="69"/>
      <c r="H1956" s="69"/>
      <c r="I1956" s="69"/>
      <c r="J1956" s="69"/>
      <c r="K1956" s="69"/>
      <c r="L1956" s="69"/>
      <c r="M1956" s="69"/>
      <c r="N1956" s="69"/>
      <c r="O1956" s="69"/>
      <c r="P1956" s="69"/>
      <c r="Q1956" s="69"/>
      <c r="R1956" s="69"/>
      <c r="S1956" s="69"/>
      <c r="T1956" s="69"/>
      <c r="U1956" s="69"/>
      <c r="V1956" s="69"/>
      <c r="W1956" s="69"/>
    </row>
    <row r="1957" spans="7:23" x14ac:dyDescent="0.3">
      <c r="G1957" s="69"/>
      <c r="H1957" s="69"/>
      <c r="I1957" s="69"/>
      <c r="J1957" s="69"/>
      <c r="K1957" s="69"/>
      <c r="L1957" s="69"/>
      <c r="M1957" s="69"/>
      <c r="N1957" s="69"/>
      <c r="O1957" s="69"/>
      <c r="P1957" s="69"/>
      <c r="Q1957" s="69"/>
      <c r="R1957" s="69"/>
      <c r="S1957" s="69"/>
      <c r="T1957" s="69"/>
      <c r="U1957" s="69"/>
      <c r="V1957" s="69"/>
      <c r="W1957" s="69"/>
    </row>
    <row r="1958" spans="7:23" x14ac:dyDescent="0.3">
      <c r="G1958" s="69"/>
      <c r="H1958" s="69"/>
      <c r="I1958" s="69"/>
      <c r="J1958" s="69"/>
      <c r="K1958" s="69"/>
      <c r="L1958" s="69"/>
      <c r="M1958" s="69"/>
      <c r="N1958" s="69"/>
      <c r="O1958" s="69"/>
      <c r="P1958" s="69"/>
      <c r="Q1958" s="69"/>
      <c r="R1958" s="69"/>
      <c r="S1958" s="69"/>
      <c r="T1958" s="69"/>
      <c r="U1958" s="69"/>
      <c r="V1958" s="69"/>
      <c r="W1958" s="69"/>
    </row>
    <row r="1959" spans="7:23" x14ac:dyDescent="0.3">
      <c r="G1959" s="69"/>
      <c r="H1959" s="69"/>
      <c r="I1959" s="69"/>
      <c r="J1959" s="69"/>
      <c r="K1959" s="69"/>
      <c r="L1959" s="69"/>
      <c r="M1959" s="69"/>
      <c r="N1959" s="69"/>
      <c r="O1959" s="69"/>
      <c r="P1959" s="69"/>
      <c r="Q1959" s="69"/>
      <c r="R1959" s="69"/>
      <c r="S1959" s="69"/>
      <c r="T1959" s="69"/>
      <c r="U1959" s="69"/>
      <c r="V1959" s="69"/>
      <c r="W1959" s="69"/>
    </row>
    <row r="1960" spans="7:23" x14ac:dyDescent="0.3">
      <c r="G1960" s="69"/>
      <c r="H1960" s="69"/>
      <c r="I1960" s="69"/>
      <c r="J1960" s="69"/>
      <c r="K1960" s="69"/>
      <c r="L1960" s="69"/>
      <c r="M1960" s="69"/>
      <c r="N1960" s="69"/>
      <c r="O1960" s="69"/>
      <c r="P1960" s="69"/>
      <c r="Q1960" s="69"/>
      <c r="R1960" s="69"/>
      <c r="S1960" s="69"/>
      <c r="T1960" s="69"/>
      <c r="U1960" s="69"/>
      <c r="V1960" s="69"/>
      <c r="W1960" s="69"/>
    </row>
    <row r="1961" spans="7:23" x14ac:dyDescent="0.3">
      <c r="G1961" s="69"/>
      <c r="H1961" s="69"/>
      <c r="I1961" s="69"/>
      <c r="J1961" s="69"/>
      <c r="K1961" s="69"/>
      <c r="L1961" s="69"/>
      <c r="M1961" s="69"/>
      <c r="N1961" s="69"/>
      <c r="O1961" s="69"/>
      <c r="P1961" s="69"/>
      <c r="Q1961" s="69"/>
      <c r="R1961" s="69"/>
      <c r="S1961" s="69"/>
      <c r="T1961" s="69"/>
      <c r="U1961" s="69"/>
      <c r="V1961" s="69"/>
      <c r="W1961" s="69"/>
    </row>
    <row r="1962" spans="7:23" x14ac:dyDescent="0.3">
      <c r="G1962" s="69"/>
      <c r="H1962" s="69"/>
      <c r="I1962" s="69"/>
      <c r="J1962" s="69"/>
      <c r="K1962" s="69"/>
      <c r="L1962" s="69"/>
      <c r="M1962" s="69"/>
      <c r="N1962" s="69"/>
      <c r="O1962" s="69"/>
      <c r="P1962" s="69"/>
      <c r="Q1962" s="69"/>
      <c r="R1962" s="69"/>
      <c r="S1962" s="69"/>
      <c r="T1962" s="69"/>
      <c r="U1962" s="69"/>
      <c r="V1962" s="69"/>
      <c r="W1962" s="69"/>
    </row>
    <row r="1963" spans="7:23" x14ac:dyDescent="0.3">
      <c r="G1963" s="69"/>
      <c r="H1963" s="69"/>
      <c r="I1963" s="69"/>
      <c r="J1963" s="69"/>
      <c r="K1963" s="69"/>
      <c r="L1963" s="69"/>
      <c r="M1963" s="69"/>
      <c r="N1963" s="69"/>
      <c r="O1963" s="69"/>
      <c r="P1963" s="69"/>
      <c r="Q1963" s="69"/>
      <c r="R1963" s="69"/>
      <c r="S1963" s="69"/>
      <c r="T1963" s="69"/>
      <c r="U1963" s="69"/>
      <c r="V1963" s="69"/>
      <c r="W1963" s="69"/>
    </row>
    <row r="1964" spans="7:23" x14ac:dyDescent="0.3">
      <c r="G1964" s="69"/>
      <c r="H1964" s="69"/>
      <c r="I1964" s="69"/>
      <c r="J1964" s="69"/>
      <c r="K1964" s="69"/>
      <c r="L1964" s="69"/>
      <c r="M1964" s="69"/>
      <c r="N1964" s="69"/>
      <c r="O1964" s="69"/>
      <c r="P1964" s="69"/>
      <c r="Q1964" s="69"/>
      <c r="R1964" s="69"/>
      <c r="S1964" s="69"/>
      <c r="T1964" s="69"/>
      <c r="U1964" s="69"/>
      <c r="V1964" s="69"/>
      <c r="W1964" s="69"/>
    </row>
    <row r="1965" spans="7:23" x14ac:dyDescent="0.3">
      <c r="G1965" s="69"/>
      <c r="H1965" s="69"/>
      <c r="I1965" s="69"/>
      <c r="J1965" s="69"/>
      <c r="K1965" s="69"/>
      <c r="L1965" s="69"/>
      <c r="M1965" s="69"/>
      <c r="N1965" s="69"/>
      <c r="O1965" s="69"/>
      <c r="P1965" s="69"/>
      <c r="Q1965" s="69"/>
      <c r="R1965" s="69"/>
      <c r="S1965" s="69"/>
      <c r="T1965" s="69"/>
      <c r="U1965" s="69"/>
      <c r="V1965" s="69"/>
      <c r="W1965" s="69"/>
    </row>
    <row r="1966" spans="7:23" x14ac:dyDescent="0.3">
      <c r="G1966" s="69"/>
      <c r="H1966" s="69"/>
      <c r="I1966" s="69"/>
      <c r="J1966" s="69"/>
      <c r="K1966" s="69"/>
      <c r="L1966" s="69"/>
      <c r="M1966" s="69"/>
      <c r="N1966" s="69"/>
      <c r="O1966" s="69"/>
      <c r="P1966" s="69"/>
      <c r="Q1966" s="69"/>
      <c r="R1966" s="69"/>
      <c r="S1966" s="69"/>
      <c r="T1966" s="69"/>
      <c r="U1966" s="69"/>
      <c r="V1966" s="69"/>
      <c r="W1966" s="69"/>
    </row>
    <row r="1967" spans="7:23" x14ac:dyDescent="0.3">
      <c r="G1967" s="69"/>
      <c r="H1967" s="69"/>
      <c r="I1967" s="69"/>
      <c r="J1967" s="69"/>
      <c r="K1967" s="69"/>
      <c r="L1967" s="69"/>
      <c r="M1967" s="69"/>
      <c r="N1967" s="69"/>
      <c r="O1967" s="69"/>
      <c r="P1967" s="69"/>
      <c r="Q1967" s="69"/>
      <c r="R1967" s="69"/>
      <c r="S1967" s="69"/>
      <c r="T1967" s="69"/>
      <c r="U1967" s="69"/>
      <c r="V1967" s="69"/>
      <c r="W1967" s="69"/>
    </row>
    <row r="1968" spans="7:23" x14ac:dyDescent="0.3">
      <c r="G1968" s="69"/>
      <c r="H1968" s="69"/>
      <c r="I1968" s="69"/>
      <c r="J1968" s="69"/>
      <c r="K1968" s="69"/>
      <c r="L1968" s="69"/>
      <c r="M1968" s="69"/>
      <c r="N1968" s="69"/>
      <c r="O1968" s="69"/>
      <c r="P1968" s="69"/>
      <c r="Q1968" s="69"/>
      <c r="R1968" s="69"/>
      <c r="S1968" s="69"/>
      <c r="T1968" s="69"/>
      <c r="U1968" s="69"/>
      <c r="V1968" s="69"/>
      <c r="W1968" s="69"/>
    </row>
    <row r="1969" spans="7:23" x14ac:dyDescent="0.3">
      <c r="G1969" s="69"/>
      <c r="H1969" s="69"/>
      <c r="I1969" s="69"/>
      <c r="J1969" s="69"/>
      <c r="K1969" s="69"/>
      <c r="L1969" s="69"/>
      <c r="M1969" s="69"/>
      <c r="N1969" s="69"/>
      <c r="O1969" s="69"/>
      <c r="P1969" s="69"/>
      <c r="Q1969" s="69"/>
      <c r="R1969" s="69"/>
      <c r="S1969" s="69"/>
      <c r="T1969" s="69"/>
      <c r="U1969" s="69"/>
      <c r="V1969" s="69"/>
      <c r="W1969" s="69"/>
    </row>
    <row r="1970" spans="7:23" x14ac:dyDescent="0.3">
      <c r="G1970" s="69"/>
      <c r="H1970" s="69"/>
      <c r="I1970" s="69"/>
      <c r="J1970" s="69"/>
      <c r="K1970" s="69"/>
      <c r="L1970" s="69"/>
      <c r="M1970" s="69"/>
      <c r="N1970" s="69"/>
      <c r="O1970" s="69"/>
      <c r="P1970" s="69"/>
      <c r="Q1970" s="69"/>
      <c r="R1970" s="69"/>
      <c r="S1970" s="69"/>
      <c r="T1970" s="69"/>
      <c r="U1970" s="69"/>
      <c r="V1970" s="69"/>
      <c r="W1970" s="69"/>
    </row>
    <row r="1971" spans="7:23" x14ac:dyDescent="0.3">
      <c r="G1971" s="69"/>
      <c r="H1971" s="69"/>
      <c r="I1971" s="69"/>
      <c r="J1971" s="69"/>
      <c r="K1971" s="69"/>
      <c r="L1971" s="69"/>
      <c r="M1971" s="69"/>
      <c r="N1971" s="69"/>
      <c r="O1971" s="69"/>
      <c r="P1971" s="69"/>
      <c r="Q1971" s="69"/>
      <c r="R1971" s="69"/>
      <c r="S1971" s="69"/>
      <c r="T1971" s="69"/>
      <c r="U1971" s="69"/>
      <c r="V1971" s="69"/>
      <c r="W1971" s="69"/>
    </row>
    <row r="1972" spans="7:23" x14ac:dyDescent="0.3">
      <c r="G1972" s="69"/>
      <c r="H1972" s="69"/>
      <c r="I1972" s="69"/>
      <c r="J1972" s="69"/>
      <c r="K1972" s="69"/>
      <c r="L1972" s="69"/>
      <c r="M1972" s="69"/>
      <c r="N1972" s="69"/>
      <c r="O1972" s="69"/>
      <c r="P1972" s="69"/>
      <c r="Q1972" s="69"/>
      <c r="R1972" s="69"/>
      <c r="S1972" s="69"/>
      <c r="T1972" s="69"/>
      <c r="U1972" s="69"/>
      <c r="V1972" s="69"/>
      <c r="W1972" s="69"/>
    </row>
    <row r="1973" spans="7:23" x14ac:dyDescent="0.3">
      <c r="G1973" s="69"/>
      <c r="H1973" s="69"/>
      <c r="I1973" s="69"/>
      <c r="J1973" s="69"/>
      <c r="K1973" s="69"/>
      <c r="L1973" s="69"/>
      <c r="M1973" s="69"/>
      <c r="N1973" s="69"/>
      <c r="O1973" s="69"/>
      <c r="P1973" s="69"/>
      <c r="Q1973" s="69"/>
      <c r="R1973" s="69"/>
      <c r="S1973" s="69"/>
      <c r="T1973" s="69"/>
      <c r="U1973" s="69"/>
      <c r="V1973" s="69"/>
      <c r="W1973" s="69"/>
    </row>
    <row r="1974" spans="7:23" x14ac:dyDescent="0.3">
      <c r="G1974" s="69"/>
      <c r="H1974" s="69"/>
      <c r="I1974" s="69"/>
      <c r="J1974" s="69"/>
      <c r="K1974" s="69"/>
      <c r="L1974" s="69"/>
      <c r="M1974" s="69"/>
      <c r="N1974" s="69"/>
      <c r="O1974" s="69"/>
      <c r="P1974" s="69"/>
      <c r="Q1974" s="69"/>
      <c r="R1974" s="69"/>
      <c r="S1974" s="69"/>
      <c r="T1974" s="69"/>
      <c r="U1974" s="69"/>
      <c r="V1974" s="69"/>
      <c r="W1974" s="69"/>
    </row>
    <row r="1975" spans="7:23" x14ac:dyDescent="0.3">
      <c r="G1975" s="69"/>
      <c r="H1975" s="69"/>
      <c r="I1975" s="69"/>
      <c r="J1975" s="69"/>
      <c r="K1975" s="69"/>
      <c r="L1975" s="69"/>
      <c r="M1975" s="69"/>
      <c r="N1975" s="69"/>
      <c r="O1975" s="69"/>
      <c r="P1975" s="69"/>
      <c r="Q1975" s="69"/>
      <c r="R1975" s="69"/>
      <c r="S1975" s="69"/>
      <c r="T1975" s="69"/>
      <c r="U1975" s="69"/>
      <c r="V1975" s="69"/>
      <c r="W1975" s="69"/>
    </row>
    <row r="1976" spans="7:23" x14ac:dyDescent="0.3">
      <c r="G1976" s="69"/>
      <c r="H1976" s="69"/>
      <c r="I1976" s="69"/>
      <c r="J1976" s="69"/>
      <c r="K1976" s="69"/>
      <c r="L1976" s="69"/>
      <c r="M1976" s="69"/>
      <c r="N1976" s="69"/>
      <c r="O1976" s="69"/>
      <c r="P1976" s="69"/>
      <c r="Q1976" s="69"/>
      <c r="R1976" s="69"/>
      <c r="S1976" s="69"/>
      <c r="T1976" s="69"/>
      <c r="U1976" s="69"/>
      <c r="V1976" s="69"/>
      <c r="W1976" s="69"/>
    </row>
    <row r="1977" spans="7:23" x14ac:dyDescent="0.3">
      <c r="G1977" s="69"/>
      <c r="H1977" s="69"/>
      <c r="I1977" s="69"/>
      <c r="J1977" s="69"/>
      <c r="K1977" s="69"/>
      <c r="L1977" s="69"/>
      <c r="M1977" s="69"/>
      <c r="N1977" s="69"/>
      <c r="O1977" s="69"/>
      <c r="P1977" s="69"/>
      <c r="Q1977" s="69"/>
      <c r="R1977" s="69"/>
      <c r="S1977" s="69"/>
      <c r="T1977" s="69"/>
      <c r="U1977" s="69"/>
      <c r="V1977" s="69"/>
      <c r="W1977" s="69"/>
    </row>
    <row r="1978" spans="7:23" x14ac:dyDescent="0.3">
      <c r="G1978" s="69"/>
      <c r="H1978" s="69"/>
      <c r="I1978" s="69"/>
      <c r="J1978" s="69"/>
      <c r="K1978" s="69"/>
      <c r="L1978" s="69"/>
      <c r="M1978" s="69"/>
      <c r="N1978" s="69"/>
      <c r="O1978" s="69"/>
      <c r="P1978" s="69"/>
      <c r="Q1978" s="69"/>
      <c r="R1978" s="69"/>
      <c r="S1978" s="69"/>
      <c r="T1978" s="69"/>
      <c r="U1978" s="69"/>
      <c r="V1978" s="69"/>
      <c r="W1978" s="69"/>
    </row>
    <row r="1979" spans="7:23" x14ac:dyDescent="0.3">
      <c r="G1979" s="69"/>
      <c r="H1979" s="69"/>
      <c r="I1979" s="69"/>
      <c r="J1979" s="69"/>
      <c r="K1979" s="69"/>
      <c r="L1979" s="69"/>
      <c r="M1979" s="69"/>
      <c r="N1979" s="69"/>
      <c r="O1979" s="69"/>
      <c r="P1979" s="69"/>
      <c r="Q1979" s="69"/>
      <c r="R1979" s="69"/>
      <c r="S1979" s="69"/>
      <c r="T1979" s="69"/>
      <c r="U1979" s="69"/>
      <c r="V1979" s="69"/>
      <c r="W1979" s="69"/>
    </row>
    <row r="1980" spans="7:23" x14ac:dyDescent="0.3">
      <c r="G1980" s="69"/>
      <c r="H1980" s="69"/>
      <c r="I1980" s="69"/>
      <c r="J1980" s="69"/>
      <c r="K1980" s="69"/>
      <c r="L1980" s="69"/>
      <c r="M1980" s="69"/>
      <c r="N1980" s="69"/>
      <c r="O1980" s="69"/>
      <c r="P1980" s="69"/>
      <c r="Q1980" s="69"/>
      <c r="R1980" s="69"/>
      <c r="S1980" s="69"/>
      <c r="T1980" s="69"/>
      <c r="U1980" s="69"/>
      <c r="V1980" s="69"/>
      <c r="W1980" s="69"/>
    </row>
    <row r="1981" spans="7:23" x14ac:dyDescent="0.3">
      <c r="G1981" s="69"/>
      <c r="H1981" s="69"/>
      <c r="I1981" s="69"/>
      <c r="J1981" s="69"/>
      <c r="K1981" s="69"/>
      <c r="L1981" s="69"/>
      <c r="M1981" s="69"/>
      <c r="N1981" s="69"/>
      <c r="O1981" s="69"/>
      <c r="P1981" s="69"/>
      <c r="Q1981" s="69"/>
      <c r="R1981" s="69"/>
      <c r="S1981" s="69"/>
      <c r="T1981" s="69"/>
      <c r="U1981" s="69"/>
      <c r="V1981" s="69"/>
      <c r="W1981" s="69"/>
    </row>
    <row r="1982" spans="7:23" x14ac:dyDescent="0.3">
      <c r="G1982" s="69"/>
      <c r="H1982" s="69"/>
      <c r="I1982" s="69"/>
      <c r="J1982" s="69"/>
      <c r="K1982" s="69"/>
      <c r="L1982" s="69"/>
      <c r="M1982" s="69"/>
      <c r="N1982" s="69"/>
      <c r="O1982" s="69"/>
      <c r="P1982" s="69"/>
      <c r="Q1982" s="69"/>
      <c r="R1982" s="69"/>
      <c r="S1982" s="69"/>
      <c r="T1982" s="69"/>
      <c r="U1982" s="69"/>
      <c r="V1982" s="69"/>
      <c r="W1982" s="69"/>
    </row>
    <row r="1983" spans="7:23" x14ac:dyDescent="0.3">
      <c r="G1983" s="69"/>
      <c r="H1983" s="69"/>
      <c r="I1983" s="69"/>
      <c r="J1983" s="69"/>
      <c r="K1983" s="69"/>
      <c r="L1983" s="69"/>
      <c r="M1983" s="69"/>
      <c r="N1983" s="69"/>
      <c r="O1983" s="69"/>
      <c r="P1983" s="69"/>
      <c r="Q1983" s="69"/>
      <c r="R1983" s="69"/>
      <c r="S1983" s="69"/>
      <c r="T1983" s="69"/>
      <c r="U1983" s="69"/>
      <c r="V1983" s="69"/>
      <c r="W1983" s="69"/>
    </row>
    <row r="1984" spans="7:23" x14ac:dyDescent="0.3">
      <c r="G1984" s="69"/>
      <c r="H1984" s="69"/>
      <c r="I1984" s="69"/>
      <c r="J1984" s="69"/>
      <c r="K1984" s="69"/>
      <c r="L1984" s="69"/>
      <c r="M1984" s="69"/>
      <c r="N1984" s="69"/>
      <c r="O1984" s="69"/>
      <c r="P1984" s="69"/>
      <c r="Q1984" s="69"/>
      <c r="R1984" s="69"/>
      <c r="S1984" s="69"/>
      <c r="T1984" s="69"/>
      <c r="U1984" s="69"/>
      <c r="V1984" s="69"/>
      <c r="W1984" s="69"/>
    </row>
    <row r="1985" spans="7:23" x14ac:dyDescent="0.3">
      <c r="G1985" s="69"/>
      <c r="H1985" s="69"/>
      <c r="I1985" s="69"/>
      <c r="J1985" s="69"/>
      <c r="K1985" s="69"/>
      <c r="L1985" s="69"/>
      <c r="M1985" s="69"/>
      <c r="N1985" s="69"/>
      <c r="O1985" s="69"/>
      <c r="P1985" s="69"/>
      <c r="Q1985" s="69"/>
      <c r="R1985" s="69"/>
      <c r="S1985" s="69"/>
      <c r="T1985" s="69"/>
      <c r="U1985" s="69"/>
      <c r="V1985" s="69"/>
      <c r="W1985" s="69"/>
    </row>
    <row r="1986" spans="7:23" x14ac:dyDescent="0.3">
      <c r="G1986" s="69"/>
      <c r="H1986" s="69"/>
      <c r="I1986" s="69"/>
      <c r="J1986" s="69"/>
      <c r="K1986" s="69"/>
      <c r="L1986" s="69"/>
      <c r="M1986" s="69"/>
      <c r="N1986" s="69"/>
      <c r="O1986" s="69"/>
      <c r="P1986" s="69"/>
      <c r="Q1986" s="69"/>
      <c r="R1986" s="69"/>
      <c r="S1986" s="69"/>
      <c r="T1986" s="69"/>
      <c r="U1986" s="69"/>
      <c r="V1986" s="69"/>
      <c r="W1986" s="69"/>
    </row>
    <row r="1987" spans="7:23" x14ac:dyDescent="0.3">
      <c r="G1987" s="69"/>
      <c r="H1987" s="69"/>
      <c r="I1987" s="69"/>
      <c r="J1987" s="69"/>
      <c r="K1987" s="69"/>
      <c r="L1987" s="69"/>
      <c r="M1987" s="69"/>
      <c r="N1987" s="69"/>
      <c r="O1987" s="69"/>
      <c r="P1987" s="69"/>
      <c r="Q1987" s="69"/>
      <c r="R1987" s="69"/>
      <c r="S1987" s="69"/>
      <c r="T1987" s="69"/>
      <c r="U1987" s="69"/>
      <c r="V1987" s="69"/>
      <c r="W1987" s="69"/>
    </row>
    <row r="1988" spans="7:23" x14ac:dyDescent="0.3">
      <c r="G1988" s="69"/>
      <c r="H1988" s="69"/>
      <c r="I1988" s="69"/>
      <c r="J1988" s="69"/>
      <c r="K1988" s="69"/>
      <c r="L1988" s="69"/>
      <c r="M1988" s="69"/>
      <c r="N1988" s="69"/>
      <c r="O1988" s="69"/>
      <c r="P1988" s="69"/>
      <c r="Q1988" s="69"/>
      <c r="R1988" s="69"/>
      <c r="S1988" s="69"/>
      <c r="T1988" s="69"/>
      <c r="U1988" s="69"/>
      <c r="V1988" s="69"/>
      <c r="W1988" s="69"/>
    </row>
    <row r="1989" spans="7:23" x14ac:dyDescent="0.3">
      <c r="G1989" s="69"/>
      <c r="H1989" s="69"/>
      <c r="I1989" s="69"/>
      <c r="J1989" s="69"/>
      <c r="K1989" s="69"/>
      <c r="L1989" s="69"/>
      <c r="M1989" s="69"/>
      <c r="N1989" s="69"/>
      <c r="O1989" s="69"/>
      <c r="P1989" s="69"/>
      <c r="Q1989" s="69"/>
      <c r="R1989" s="69"/>
      <c r="S1989" s="69"/>
      <c r="T1989" s="69"/>
      <c r="U1989" s="69"/>
      <c r="V1989" s="69"/>
      <c r="W1989" s="69"/>
    </row>
    <row r="1990" spans="7:23" x14ac:dyDescent="0.3">
      <c r="G1990" s="69"/>
      <c r="H1990" s="69"/>
      <c r="I1990" s="69"/>
      <c r="J1990" s="69"/>
      <c r="K1990" s="69"/>
      <c r="L1990" s="69"/>
      <c r="M1990" s="69"/>
      <c r="N1990" s="69"/>
      <c r="O1990" s="69"/>
      <c r="P1990" s="69"/>
      <c r="Q1990" s="69"/>
      <c r="R1990" s="69"/>
      <c r="S1990" s="69"/>
      <c r="T1990" s="69"/>
      <c r="U1990" s="69"/>
      <c r="V1990" s="69"/>
      <c r="W1990" s="69"/>
    </row>
    <row r="1991" spans="7:23" x14ac:dyDescent="0.3">
      <c r="G1991" s="69"/>
      <c r="H1991" s="69"/>
      <c r="I1991" s="69"/>
      <c r="J1991" s="69"/>
      <c r="K1991" s="69"/>
      <c r="L1991" s="69"/>
      <c r="M1991" s="69"/>
      <c r="N1991" s="69"/>
      <c r="O1991" s="69"/>
      <c r="P1991" s="69"/>
      <c r="Q1991" s="69"/>
      <c r="R1991" s="69"/>
      <c r="S1991" s="69"/>
      <c r="T1991" s="69"/>
      <c r="U1991" s="69"/>
      <c r="V1991" s="69"/>
      <c r="W1991" s="69"/>
    </row>
    <row r="1992" spans="7:23" x14ac:dyDescent="0.3">
      <c r="G1992" s="69"/>
      <c r="H1992" s="69"/>
      <c r="I1992" s="69"/>
      <c r="J1992" s="69"/>
      <c r="K1992" s="69"/>
      <c r="L1992" s="69"/>
      <c r="M1992" s="69"/>
      <c r="N1992" s="69"/>
      <c r="O1992" s="69"/>
      <c r="P1992" s="69"/>
      <c r="Q1992" s="69"/>
      <c r="R1992" s="69"/>
      <c r="S1992" s="69"/>
      <c r="T1992" s="69"/>
      <c r="U1992" s="69"/>
      <c r="V1992" s="69"/>
      <c r="W1992" s="69"/>
    </row>
    <row r="1993" spans="7:23" x14ac:dyDescent="0.3">
      <c r="G1993" s="69"/>
      <c r="H1993" s="69"/>
      <c r="I1993" s="69"/>
      <c r="J1993" s="69"/>
      <c r="K1993" s="69"/>
      <c r="L1993" s="69"/>
      <c r="M1993" s="69"/>
      <c r="N1993" s="69"/>
      <c r="O1993" s="69"/>
      <c r="P1993" s="69"/>
      <c r="Q1993" s="69"/>
      <c r="R1993" s="69"/>
      <c r="S1993" s="69"/>
      <c r="T1993" s="69"/>
      <c r="U1993" s="69"/>
      <c r="V1993" s="69"/>
      <c r="W1993" s="69"/>
    </row>
    <row r="1994" spans="7:23" x14ac:dyDescent="0.3">
      <c r="G1994" s="69"/>
      <c r="H1994" s="69"/>
      <c r="I1994" s="69"/>
      <c r="J1994" s="69"/>
      <c r="K1994" s="69"/>
      <c r="L1994" s="69"/>
      <c r="M1994" s="69"/>
      <c r="N1994" s="69"/>
      <c r="O1994" s="69"/>
      <c r="P1994" s="69"/>
      <c r="Q1994" s="69"/>
      <c r="R1994" s="69"/>
      <c r="S1994" s="69"/>
      <c r="T1994" s="69"/>
      <c r="U1994" s="69"/>
      <c r="V1994" s="69"/>
      <c r="W1994" s="69"/>
    </row>
    <row r="1995" spans="7:23" x14ac:dyDescent="0.3">
      <c r="G1995" s="69"/>
      <c r="H1995" s="69"/>
      <c r="I1995" s="69"/>
      <c r="J1995" s="69"/>
      <c r="K1995" s="69"/>
      <c r="L1995" s="69"/>
      <c r="M1995" s="69"/>
      <c r="N1995" s="69"/>
      <c r="O1995" s="69"/>
      <c r="P1995" s="69"/>
      <c r="Q1995" s="69"/>
      <c r="R1995" s="69"/>
      <c r="S1995" s="69"/>
      <c r="T1995" s="69"/>
      <c r="U1995" s="69"/>
      <c r="V1995" s="69"/>
      <c r="W1995" s="69"/>
    </row>
    <row r="1996" spans="7:23" x14ac:dyDescent="0.3">
      <c r="G1996" s="69"/>
      <c r="H1996" s="69"/>
      <c r="I1996" s="69"/>
      <c r="J1996" s="69"/>
      <c r="K1996" s="69"/>
      <c r="L1996" s="69"/>
      <c r="M1996" s="69"/>
      <c r="N1996" s="69"/>
      <c r="O1996" s="69"/>
      <c r="P1996" s="69"/>
      <c r="Q1996" s="69"/>
      <c r="R1996" s="69"/>
      <c r="S1996" s="69"/>
      <c r="T1996" s="69"/>
      <c r="U1996" s="69"/>
      <c r="V1996" s="69"/>
      <c r="W1996" s="69"/>
    </row>
    <row r="1997" spans="7:23" x14ac:dyDescent="0.3">
      <c r="G1997" s="69"/>
      <c r="H1997" s="69"/>
      <c r="I1997" s="69"/>
      <c r="J1997" s="69"/>
      <c r="K1997" s="69"/>
      <c r="L1997" s="69"/>
      <c r="M1997" s="69"/>
      <c r="N1997" s="69"/>
      <c r="O1997" s="69"/>
      <c r="P1997" s="69"/>
      <c r="Q1997" s="69"/>
      <c r="R1997" s="69"/>
      <c r="S1997" s="69"/>
      <c r="T1997" s="69"/>
      <c r="U1997" s="69"/>
      <c r="V1997" s="69"/>
      <c r="W1997" s="69"/>
    </row>
    <row r="1998" spans="7:23" x14ac:dyDescent="0.3">
      <c r="G1998" s="69"/>
      <c r="H1998" s="69"/>
      <c r="I1998" s="69"/>
      <c r="J1998" s="69"/>
      <c r="K1998" s="69"/>
      <c r="L1998" s="69"/>
      <c r="M1998" s="69"/>
      <c r="N1998" s="69"/>
      <c r="O1998" s="69"/>
      <c r="P1998" s="69"/>
      <c r="Q1998" s="69"/>
      <c r="R1998" s="69"/>
      <c r="S1998" s="69"/>
      <c r="T1998" s="69"/>
      <c r="U1998" s="69"/>
      <c r="V1998" s="69"/>
      <c r="W1998" s="69"/>
    </row>
    <row r="1999" spans="7:23" x14ac:dyDescent="0.3">
      <c r="G1999" s="69"/>
      <c r="H1999" s="69"/>
      <c r="I1999" s="69"/>
      <c r="J1999" s="69"/>
      <c r="K1999" s="69"/>
      <c r="L1999" s="69"/>
      <c r="M1999" s="69"/>
      <c r="N1999" s="69"/>
      <c r="O1999" s="69"/>
      <c r="P1999" s="69"/>
      <c r="Q1999" s="69"/>
      <c r="R1999" s="69"/>
      <c r="S1999" s="69"/>
      <c r="T1999" s="69"/>
      <c r="U1999" s="69"/>
      <c r="V1999" s="69"/>
      <c r="W1999" s="69"/>
    </row>
    <row r="2000" spans="7:23" x14ac:dyDescent="0.3">
      <c r="G2000" s="69"/>
      <c r="H2000" s="69"/>
      <c r="I2000" s="69"/>
      <c r="J2000" s="69"/>
      <c r="K2000" s="69"/>
      <c r="L2000" s="69"/>
      <c r="M2000" s="69"/>
      <c r="N2000" s="69"/>
      <c r="O2000" s="69"/>
      <c r="P2000" s="69"/>
      <c r="Q2000" s="69"/>
      <c r="R2000" s="69"/>
      <c r="S2000" s="69"/>
      <c r="T2000" s="69"/>
      <c r="U2000" s="69"/>
      <c r="V2000" s="69"/>
      <c r="W2000" s="69"/>
    </row>
    <row r="2001" spans="7:23" x14ac:dyDescent="0.3">
      <c r="G2001" s="69"/>
      <c r="H2001" s="69"/>
      <c r="I2001" s="69"/>
      <c r="J2001" s="69"/>
      <c r="K2001" s="69"/>
      <c r="L2001" s="69"/>
      <c r="M2001" s="69"/>
      <c r="N2001" s="69"/>
      <c r="O2001" s="69"/>
      <c r="P2001" s="69"/>
      <c r="Q2001" s="69"/>
      <c r="R2001" s="69"/>
      <c r="S2001" s="69"/>
      <c r="T2001" s="69"/>
      <c r="U2001" s="69"/>
      <c r="V2001" s="69"/>
      <c r="W2001" s="69"/>
    </row>
    <row r="2002" spans="7:23" x14ac:dyDescent="0.3">
      <c r="G2002" s="69"/>
      <c r="H2002" s="69"/>
      <c r="I2002" s="69"/>
      <c r="J2002" s="69"/>
      <c r="K2002" s="69"/>
      <c r="L2002" s="69"/>
      <c r="M2002" s="69"/>
      <c r="N2002" s="69"/>
      <c r="O2002" s="69"/>
      <c r="P2002" s="69"/>
      <c r="Q2002" s="69"/>
      <c r="R2002" s="69"/>
      <c r="S2002" s="69"/>
      <c r="T2002" s="69"/>
      <c r="U2002" s="69"/>
      <c r="V2002" s="69"/>
      <c r="W2002" s="69"/>
    </row>
    <row r="2003" spans="7:23" x14ac:dyDescent="0.3">
      <c r="G2003" s="69"/>
      <c r="H2003" s="69"/>
      <c r="I2003" s="69"/>
      <c r="J2003" s="69"/>
      <c r="K2003" s="69"/>
      <c r="L2003" s="69"/>
      <c r="M2003" s="69"/>
      <c r="N2003" s="69"/>
      <c r="O2003" s="69"/>
      <c r="P2003" s="69"/>
      <c r="Q2003" s="69"/>
      <c r="R2003" s="69"/>
      <c r="S2003" s="69"/>
      <c r="T2003" s="69"/>
      <c r="U2003" s="69"/>
      <c r="V2003" s="69"/>
      <c r="W2003" s="69"/>
    </row>
    <row r="2004" spans="7:23" x14ac:dyDescent="0.3">
      <c r="G2004" s="69"/>
      <c r="H2004" s="69"/>
      <c r="I2004" s="69"/>
      <c r="J2004" s="69"/>
      <c r="K2004" s="69"/>
      <c r="L2004" s="69"/>
      <c r="M2004" s="69"/>
      <c r="N2004" s="69"/>
      <c r="O2004" s="69"/>
      <c r="P2004" s="69"/>
      <c r="Q2004" s="69"/>
      <c r="R2004" s="69"/>
      <c r="S2004" s="69"/>
      <c r="T2004" s="69"/>
      <c r="U2004" s="69"/>
      <c r="V2004" s="69"/>
      <c r="W2004" s="69"/>
    </row>
    <row r="2005" spans="7:23" x14ac:dyDescent="0.3">
      <c r="G2005" s="69"/>
      <c r="H2005" s="69"/>
      <c r="I2005" s="69"/>
      <c r="J2005" s="69"/>
      <c r="K2005" s="69"/>
      <c r="L2005" s="69"/>
      <c r="M2005" s="69"/>
      <c r="N2005" s="69"/>
      <c r="O2005" s="69"/>
      <c r="P2005" s="69"/>
      <c r="Q2005" s="69"/>
      <c r="R2005" s="69"/>
      <c r="S2005" s="69"/>
      <c r="T2005" s="69"/>
      <c r="U2005" s="69"/>
      <c r="V2005" s="69"/>
      <c r="W2005" s="69"/>
    </row>
    <row r="2006" spans="7:23" x14ac:dyDescent="0.3">
      <c r="G2006" s="69"/>
      <c r="H2006" s="69"/>
      <c r="I2006" s="69"/>
      <c r="J2006" s="69"/>
      <c r="K2006" s="69"/>
      <c r="L2006" s="69"/>
      <c r="M2006" s="69"/>
      <c r="N2006" s="69"/>
      <c r="O2006" s="69"/>
      <c r="P2006" s="69"/>
      <c r="Q2006" s="69"/>
      <c r="R2006" s="69"/>
      <c r="S2006" s="69"/>
      <c r="T2006" s="69"/>
      <c r="U2006" s="69"/>
      <c r="V2006" s="69"/>
      <c r="W2006" s="69"/>
    </row>
    <row r="2007" spans="7:23" x14ac:dyDescent="0.3">
      <c r="G2007" s="69"/>
      <c r="H2007" s="69"/>
      <c r="I2007" s="69"/>
      <c r="J2007" s="69"/>
      <c r="K2007" s="69"/>
      <c r="L2007" s="69"/>
      <c r="M2007" s="69"/>
      <c r="N2007" s="69"/>
      <c r="O2007" s="69"/>
      <c r="P2007" s="69"/>
      <c r="Q2007" s="69"/>
      <c r="R2007" s="69"/>
      <c r="S2007" s="69"/>
      <c r="T2007" s="69"/>
      <c r="U2007" s="69"/>
      <c r="V2007" s="69"/>
      <c r="W2007" s="69"/>
    </row>
    <row r="2008" spans="7:23" x14ac:dyDescent="0.3">
      <c r="G2008" s="69"/>
      <c r="H2008" s="69"/>
      <c r="I2008" s="69"/>
      <c r="J2008" s="69"/>
      <c r="K2008" s="69"/>
      <c r="L2008" s="69"/>
      <c r="M2008" s="69"/>
      <c r="N2008" s="69"/>
      <c r="O2008" s="69"/>
      <c r="P2008" s="69"/>
      <c r="Q2008" s="69"/>
      <c r="R2008" s="69"/>
      <c r="S2008" s="69"/>
      <c r="T2008" s="69"/>
      <c r="U2008" s="69"/>
      <c r="V2008" s="69"/>
      <c r="W2008" s="69"/>
    </row>
    <row r="2009" spans="7:23" x14ac:dyDescent="0.3">
      <c r="G2009" s="69"/>
      <c r="H2009" s="69"/>
      <c r="I2009" s="69"/>
      <c r="J2009" s="69"/>
      <c r="K2009" s="69"/>
      <c r="L2009" s="69"/>
      <c r="M2009" s="69"/>
      <c r="N2009" s="69"/>
      <c r="O2009" s="69"/>
      <c r="P2009" s="69"/>
      <c r="Q2009" s="69"/>
      <c r="R2009" s="69"/>
      <c r="S2009" s="69"/>
      <c r="T2009" s="69"/>
      <c r="U2009" s="69"/>
      <c r="V2009" s="69"/>
      <c r="W2009" s="69"/>
    </row>
    <row r="2010" spans="7:23" x14ac:dyDescent="0.3">
      <c r="G2010" s="69"/>
      <c r="H2010" s="69"/>
      <c r="I2010" s="69"/>
      <c r="J2010" s="69"/>
      <c r="K2010" s="69"/>
      <c r="L2010" s="69"/>
      <c r="M2010" s="69"/>
      <c r="N2010" s="69"/>
      <c r="O2010" s="69"/>
      <c r="P2010" s="69"/>
      <c r="Q2010" s="69"/>
      <c r="R2010" s="69"/>
      <c r="S2010" s="69"/>
      <c r="T2010" s="69"/>
      <c r="U2010" s="69"/>
      <c r="V2010" s="69"/>
      <c r="W2010" s="69"/>
    </row>
    <row r="2011" spans="7:23" x14ac:dyDescent="0.3">
      <c r="G2011" s="69"/>
      <c r="H2011" s="69"/>
      <c r="I2011" s="69"/>
      <c r="J2011" s="69"/>
      <c r="K2011" s="69"/>
      <c r="L2011" s="69"/>
      <c r="M2011" s="69"/>
      <c r="N2011" s="69"/>
      <c r="O2011" s="69"/>
      <c r="P2011" s="69"/>
      <c r="Q2011" s="69"/>
      <c r="R2011" s="69"/>
      <c r="S2011" s="69"/>
      <c r="T2011" s="69"/>
      <c r="U2011" s="69"/>
      <c r="V2011" s="69"/>
      <c r="W2011" s="69"/>
    </row>
    <row r="2012" spans="7:23" x14ac:dyDescent="0.3">
      <c r="G2012" s="69"/>
      <c r="H2012" s="69"/>
      <c r="I2012" s="69"/>
      <c r="J2012" s="69"/>
      <c r="K2012" s="69"/>
      <c r="L2012" s="69"/>
      <c r="M2012" s="69"/>
      <c r="N2012" s="69"/>
      <c r="O2012" s="69"/>
      <c r="P2012" s="69"/>
      <c r="Q2012" s="69"/>
      <c r="R2012" s="69"/>
      <c r="S2012" s="69"/>
      <c r="T2012" s="69"/>
      <c r="U2012" s="69"/>
      <c r="V2012" s="69"/>
      <c r="W2012" s="69"/>
    </row>
    <row r="2013" spans="7:23" x14ac:dyDescent="0.3">
      <c r="G2013" s="69"/>
      <c r="H2013" s="69"/>
      <c r="I2013" s="69"/>
      <c r="J2013" s="69"/>
      <c r="K2013" s="69"/>
      <c r="L2013" s="69"/>
      <c r="M2013" s="69"/>
      <c r="N2013" s="69"/>
      <c r="O2013" s="69"/>
      <c r="P2013" s="69"/>
      <c r="Q2013" s="69"/>
      <c r="R2013" s="69"/>
      <c r="S2013" s="69"/>
      <c r="T2013" s="69"/>
      <c r="U2013" s="69"/>
      <c r="V2013" s="69"/>
      <c r="W2013" s="69"/>
    </row>
    <row r="2014" spans="7:23" x14ac:dyDescent="0.3">
      <c r="G2014" s="69"/>
      <c r="H2014" s="69"/>
      <c r="I2014" s="69"/>
      <c r="J2014" s="69"/>
      <c r="K2014" s="69"/>
      <c r="L2014" s="69"/>
      <c r="M2014" s="69"/>
      <c r="N2014" s="69"/>
      <c r="O2014" s="69"/>
      <c r="P2014" s="69"/>
      <c r="Q2014" s="69"/>
      <c r="R2014" s="69"/>
      <c r="S2014" s="69"/>
      <c r="T2014" s="69"/>
      <c r="U2014" s="69"/>
      <c r="V2014" s="69"/>
      <c r="W2014" s="69"/>
    </row>
    <row r="2015" spans="7:23" x14ac:dyDescent="0.3">
      <c r="G2015" s="69"/>
      <c r="H2015" s="69"/>
      <c r="I2015" s="69"/>
      <c r="J2015" s="69"/>
      <c r="K2015" s="69"/>
      <c r="L2015" s="69"/>
      <c r="M2015" s="69"/>
      <c r="N2015" s="69"/>
      <c r="O2015" s="69"/>
      <c r="P2015" s="69"/>
      <c r="Q2015" s="69"/>
      <c r="R2015" s="69"/>
      <c r="S2015" s="69"/>
      <c r="T2015" s="69"/>
      <c r="U2015" s="69"/>
      <c r="V2015" s="69"/>
      <c r="W2015" s="69"/>
    </row>
    <row r="2016" spans="7:23" x14ac:dyDescent="0.3">
      <c r="G2016" s="69"/>
      <c r="H2016" s="69"/>
      <c r="I2016" s="69"/>
      <c r="J2016" s="69"/>
      <c r="K2016" s="69"/>
      <c r="L2016" s="69"/>
      <c r="M2016" s="69"/>
      <c r="N2016" s="69"/>
      <c r="O2016" s="69"/>
      <c r="P2016" s="69"/>
      <c r="Q2016" s="69"/>
      <c r="R2016" s="69"/>
      <c r="S2016" s="69"/>
      <c r="T2016" s="69"/>
      <c r="U2016" s="69"/>
      <c r="V2016" s="69"/>
      <c r="W2016" s="69"/>
    </row>
    <row r="2017" spans="1:23" x14ac:dyDescent="0.3">
      <c r="G2017" s="69"/>
      <c r="H2017" s="69"/>
      <c r="I2017" s="69"/>
      <c r="J2017" s="69"/>
      <c r="K2017" s="69"/>
      <c r="L2017" s="69"/>
      <c r="M2017" s="69"/>
      <c r="N2017" s="69"/>
      <c r="O2017" s="69"/>
      <c r="P2017" s="69"/>
      <c r="Q2017" s="69"/>
      <c r="R2017" s="69"/>
      <c r="S2017" s="69"/>
      <c r="T2017" s="69"/>
      <c r="U2017" s="69"/>
      <c r="V2017" s="69"/>
      <c r="W2017" s="69"/>
    </row>
    <row r="2018" spans="1:23" x14ac:dyDescent="0.3">
      <c r="G2018" s="69"/>
      <c r="H2018" s="69"/>
      <c r="I2018" s="69"/>
      <c r="J2018" s="69"/>
      <c r="K2018" s="69"/>
      <c r="L2018" s="69"/>
      <c r="M2018" s="69"/>
      <c r="N2018" s="69"/>
      <c r="O2018" s="69"/>
      <c r="P2018" s="69"/>
      <c r="Q2018" s="69"/>
      <c r="R2018" s="69"/>
      <c r="S2018" s="69"/>
      <c r="T2018" s="69"/>
      <c r="U2018" s="69"/>
      <c r="V2018" s="69"/>
      <c r="W2018" s="69"/>
    </row>
    <row r="2019" spans="1:23" x14ac:dyDescent="0.3">
      <c r="G2019" s="69"/>
      <c r="H2019" s="69"/>
      <c r="I2019" s="69"/>
      <c r="J2019" s="69"/>
      <c r="K2019" s="69"/>
      <c r="L2019" s="69"/>
      <c r="M2019" s="69"/>
      <c r="N2019" s="69"/>
      <c r="O2019" s="69"/>
      <c r="P2019" s="69"/>
      <c r="Q2019" s="69"/>
      <c r="R2019" s="69"/>
      <c r="S2019" s="69"/>
      <c r="T2019" s="69"/>
      <c r="U2019" s="69"/>
      <c r="V2019" s="69"/>
      <c r="W2019" s="69"/>
    </row>
    <row r="2020" spans="1:23" ht="21" x14ac:dyDescent="0.4">
      <c r="A2020" s="48"/>
      <c r="G2020" s="69"/>
      <c r="H2020" s="69"/>
      <c r="I2020" s="69"/>
      <c r="J2020" s="69"/>
      <c r="K2020" s="69"/>
      <c r="L2020" s="69"/>
      <c r="M2020" s="69"/>
      <c r="N2020" s="69"/>
      <c r="O2020" s="69"/>
      <c r="P2020" s="69"/>
      <c r="Q2020" s="69"/>
      <c r="R2020" s="69"/>
      <c r="S2020" s="69"/>
      <c r="T2020" s="69"/>
      <c r="U2020" s="69"/>
      <c r="V2020" s="69"/>
      <c r="W2020" s="69"/>
    </row>
    <row r="2021" spans="1:23" x14ac:dyDescent="0.3">
      <c r="G2021" s="69"/>
      <c r="H2021" s="69"/>
      <c r="I2021" s="69"/>
      <c r="J2021" s="69"/>
      <c r="K2021" s="69"/>
      <c r="L2021" s="69"/>
      <c r="M2021" s="69"/>
      <c r="N2021" s="69"/>
      <c r="O2021" s="69"/>
      <c r="P2021" s="69"/>
      <c r="Q2021" s="69"/>
      <c r="R2021" s="69"/>
      <c r="S2021" s="69"/>
      <c r="T2021" s="69"/>
      <c r="U2021" s="69"/>
      <c r="V2021" s="69"/>
      <c r="W2021" s="69"/>
    </row>
    <row r="2022" spans="1:23" x14ac:dyDescent="0.3">
      <c r="G2022" s="69"/>
      <c r="H2022" s="69"/>
      <c r="I2022" s="69"/>
      <c r="J2022" s="69"/>
      <c r="K2022" s="69"/>
      <c r="L2022" s="69"/>
      <c r="M2022" s="69"/>
      <c r="N2022" s="69"/>
      <c r="O2022" s="69"/>
      <c r="P2022" s="69"/>
      <c r="Q2022" s="69"/>
      <c r="R2022" s="69"/>
      <c r="S2022" s="69"/>
      <c r="T2022" s="69"/>
      <c r="U2022" s="69"/>
      <c r="V2022" s="69"/>
      <c r="W2022" s="69"/>
    </row>
    <row r="2023" spans="1:23" x14ac:dyDescent="0.3">
      <c r="G2023" s="69"/>
      <c r="H2023" s="69"/>
      <c r="I2023" s="69"/>
      <c r="J2023" s="69"/>
      <c r="K2023" s="69"/>
      <c r="L2023" s="69"/>
      <c r="M2023" s="69"/>
      <c r="N2023" s="69"/>
      <c r="O2023" s="69"/>
      <c r="P2023" s="69"/>
      <c r="Q2023" s="69"/>
      <c r="R2023" s="69"/>
      <c r="S2023" s="69"/>
      <c r="T2023" s="69"/>
      <c r="U2023" s="69"/>
      <c r="V2023" s="69"/>
      <c r="W2023" s="69"/>
    </row>
    <row r="2024" spans="1:23" x14ac:dyDescent="0.3">
      <c r="G2024" s="69"/>
      <c r="H2024" s="69"/>
      <c r="I2024" s="69"/>
      <c r="J2024" s="69"/>
      <c r="K2024" s="69"/>
      <c r="L2024" s="69"/>
      <c r="M2024" s="69"/>
      <c r="N2024" s="69"/>
      <c r="O2024" s="69"/>
      <c r="P2024" s="69"/>
      <c r="Q2024" s="69"/>
      <c r="R2024" s="69"/>
      <c r="S2024" s="69"/>
      <c r="T2024" s="69"/>
      <c r="U2024" s="69"/>
      <c r="V2024" s="69"/>
      <c r="W2024" s="69"/>
    </row>
    <row r="2025" spans="1:23" x14ac:dyDescent="0.3">
      <c r="G2025" s="69"/>
      <c r="H2025" s="69"/>
      <c r="I2025" s="69"/>
      <c r="J2025" s="69"/>
      <c r="K2025" s="69"/>
      <c r="L2025" s="69"/>
      <c r="M2025" s="69"/>
      <c r="N2025" s="69"/>
      <c r="O2025" s="69"/>
      <c r="P2025" s="69"/>
      <c r="Q2025" s="69"/>
      <c r="R2025" s="69"/>
      <c r="S2025" s="69"/>
      <c r="T2025" s="69"/>
      <c r="U2025" s="69"/>
      <c r="V2025" s="69"/>
      <c r="W2025" s="69"/>
    </row>
    <row r="2026" spans="1:23" x14ac:dyDescent="0.3">
      <c r="G2026" s="69"/>
      <c r="H2026" s="69"/>
      <c r="I2026" s="69"/>
      <c r="J2026" s="69"/>
      <c r="K2026" s="69"/>
      <c r="L2026" s="69"/>
      <c r="M2026" s="69"/>
      <c r="N2026" s="69"/>
      <c r="O2026" s="69"/>
      <c r="P2026" s="69"/>
      <c r="Q2026" s="69"/>
      <c r="R2026" s="69"/>
      <c r="S2026" s="69"/>
      <c r="T2026" s="69"/>
      <c r="U2026" s="69"/>
      <c r="V2026" s="69"/>
      <c r="W2026" s="69"/>
    </row>
    <row r="2027" spans="1:23" x14ac:dyDescent="0.3">
      <c r="G2027" s="69"/>
      <c r="H2027" s="69"/>
      <c r="I2027" s="69"/>
      <c r="J2027" s="69"/>
      <c r="K2027" s="69"/>
      <c r="L2027" s="69"/>
      <c r="M2027" s="69"/>
      <c r="N2027" s="69"/>
      <c r="O2027" s="69"/>
      <c r="P2027" s="69"/>
      <c r="Q2027" s="69"/>
      <c r="R2027" s="69"/>
      <c r="S2027" s="69"/>
      <c r="T2027" s="69"/>
      <c r="U2027" s="69"/>
      <c r="V2027" s="69"/>
      <c r="W2027" s="69"/>
    </row>
    <row r="2028" spans="1:23" x14ac:dyDescent="0.3">
      <c r="G2028" s="69"/>
      <c r="H2028" s="69"/>
      <c r="I2028" s="69"/>
      <c r="J2028" s="69"/>
      <c r="K2028" s="69"/>
      <c r="L2028" s="69"/>
      <c r="M2028" s="69"/>
      <c r="N2028" s="69"/>
      <c r="O2028" s="69"/>
      <c r="P2028" s="69"/>
      <c r="Q2028" s="69"/>
      <c r="R2028" s="69"/>
      <c r="S2028" s="69"/>
      <c r="T2028" s="69"/>
      <c r="U2028" s="69"/>
      <c r="V2028" s="69"/>
      <c r="W2028" s="69"/>
    </row>
    <row r="2029" spans="1:23" x14ac:dyDescent="0.3">
      <c r="G2029" s="69"/>
      <c r="H2029" s="69"/>
      <c r="I2029" s="69"/>
      <c r="J2029" s="69"/>
      <c r="K2029" s="69"/>
      <c r="L2029" s="69"/>
      <c r="M2029" s="69"/>
      <c r="N2029" s="69"/>
      <c r="O2029" s="69"/>
      <c r="P2029" s="69"/>
      <c r="Q2029" s="69"/>
      <c r="R2029" s="69"/>
      <c r="S2029" s="69"/>
      <c r="T2029" s="69"/>
      <c r="U2029" s="69"/>
      <c r="V2029" s="69"/>
      <c r="W2029" s="69"/>
    </row>
    <row r="2030" spans="1:23" x14ac:dyDescent="0.3">
      <c r="G2030" s="69"/>
      <c r="H2030" s="69"/>
      <c r="I2030" s="69"/>
      <c r="J2030" s="69"/>
      <c r="K2030" s="69"/>
      <c r="L2030" s="69"/>
      <c r="M2030" s="69"/>
      <c r="N2030" s="69"/>
      <c r="O2030" s="69"/>
      <c r="P2030" s="69"/>
      <c r="Q2030" s="69"/>
      <c r="R2030" s="69"/>
      <c r="S2030" s="69"/>
      <c r="T2030" s="69"/>
      <c r="U2030" s="69"/>
      <c r="V2030" s="69"/>
      <c r="W2030" s="69"/>
    </row>
    <row r="2031" spans="1:23" x14ac:dyDescent="0.3">
      <c r="G2031" s="69"/>
      <c r="H2031" s="69"/>
      <c r="I2031" s="69"/>
      <c r="J2031" s="69"/>
      <c r="K2031" s="69"/>
      <c r="L2031" s="69"/>
      <c r="M2031" s="69"/>
      <c r="N2031" s="69"/>
      <c r="O2031" s="69"/>
      <c r="P2031" s="69"/>
      <c r="Q2031" s="69"/>
      <c r="R2031" s="69"/>
      <c r="S2031" s="69"/>
      <c r="T2031" s="69"/>
      <c r="U2031" s="69"/>
      <c r="V2031" s="69"/>
      <c r="W2031" s="69"/>
    </row>
    <row r="2032" spans="1:23" x14ac:dyDescent="0.3">
      <c r="G2032" s="69"/>
      <c r="H2032" s="69"/>
      <c r="I2032" s="69"/>
      <c r="J2032" s="69"/>
      <c r="K2032" s="69"/>
      <c r="L2032" s="69"/>
      <c r="M2032" s="69"/>
      <c r="N2032" s="69"/>
      <c r="O2032" s="69"/>
      <c r="P2032" s="69"/>
      <c r="Q2032" s="69"/>
      <c r="R2032" s="69"/>
      <c r="S2032" s="69"/>
      <c r="T2032" s="69"/>
      <c r="U2032" s="69"/>
      <c r="V2032" s="69"/>
      <c r="W2032" s="69"/>
    </row>
    <row r="2033" spans="7:23" x14ac:dyDescent="0.3">
      <c r="G2033" s="69"/>
      <c r="H2033" s="69"/>
      <c r="I2033" s="69"/>
      <c r="J2033" s="69"/>
      <c r="K2033" s="69"/>
      <c r="L2033" s="69"/>
      <c r="M2033" s="69"/>
      <c r="N2033" s="69"/>
      <c r="O2033" s="69"/>
      <c r="P2033" s="69"/>
      <c r="Q2033" s="69"/>
      <c r="R2033" s="69"/>
      <c r="S2033" s="69"/>
      <c r="T2033" s="69"/>
      <c r="U2033" s="69"/>
      <c r="V2033" s="69"/>
      <c r="W2033" s="69"/>
    </row>
    <row r="2034" spans="7:23" x14ac:dyDescent="0.3">
      <c r="G2034" s="69"/>
      <c r="H2034" s="69"/>
      <c r="I2034" s="69"/>
      <c r="J2034" s="69"/>
      <c r="K2034" s="69"/>
      <c r="L2034" s="69"/>
      <c r="M2034" s="69"/>
      <c r="N2034" s="69"/>
      <c r="O2034" s="69"/>
      <c r="P2034" s="69"/>
      <c r="Q2034" s="69"/>
      <c r="R2034" s="69"/>
      <c r="S2034" s="69"/>
      <c r="T2034" s="69"/>
      <c r="U2034" s="69"/>
      <c r="V2034" s="69"/>
      <c r="W2034" s="69"/>
    </row>
    <row r="2035" spans="7:23" x14ac:dyDescent="0.3">
      <c r="G2035" s="69"/>
      <c r="H2035" s="69"/>
      <c r="I2035" s="69"/>
      <c r="J2035" s="69"/>
      <c r="K2035" s="69"/>
      <c r="L2035" s="69"/>
      <c r="M2035" s="69"/>
      <c r="N2035" s="69"/>
      <c r="O2035" s="69"/>
      <c r="P2035" s="69"/>
      <c r="Q2035" s="69"/>
      <c r="R2035" s="69"/>
      <c r="S2035" s="69"/>
      <c r="T2035" s="69"/>
      <c r="U2035" s="69"/>
      <c r="V2035" s="69"/>
      <c r="W2035" s="69"/>
    </row>
    <row r="2036" spans="7:23" x14ac:dyDescent="0.3">
      <c r="G2036" s="69"/>
      <c r="H2036" s="69"/>
      <c r="I2036" s="69"/>
      <c r="J2036" s="69"/>
      <c r="K2036" s="69"/>
      <c r="L2036" s="69"/>
      <c r="M2036" s="69"/>
      <c r="N2036" s="69"/>
      <c r="O2036" s="69"/>
      <c r="P2036" s="69"/>
      <c r="Q2036" s="69"/>
      <c r="R2036" s="69"/>
      <c r="S2036" s="69"/>
      <c r="T2036" s="69"/>
      <c r="U2036" s="69"/>
      <c r="V2036" s="69"/>
      <c r="W2036" s="69"/>
    </row>
    <row r="2037" spans="7:23" x14ac:dyDescent="0.3">
      <c r="G2037" s="69"/>
      <c r="H2037" s="69"/>
      <c r="I2037" s="69"/>
      <c r="J2037" s="69"/>
      <c r="K2037" s="69"/>
      <c r="L2037" s="69"/>
      <c r="M2037" s="69"/>
      <c r="N2037" s="69"/>
      <c r="O2037" s="69"/>
      <c r="P2037" s="69"/>
      <c r="Q2037" s="69"/>
      <c r="R2037" s="69"/>
      <c r="S2037" s="69"/>
      <c r="T2037" s="69"/>
      <c r="U2037" s="69"/>
      <c r="V2037" s="69"/>
      <c r="W2037" s="69"/>
    </row>
    <row r="2038" spans="7:23" x14ac:dyDescent="0.3">
      <c r="G2038" s="69"/>
      <c r="H2038" s="69"/>
      <c r="I2038" s="69"/>
      <c r="J2038" s="69"/>
      <c r="K2038" s="69"/>
      <c r="L2038" s="69"/>
      <c r="M2038" s="69"/>
      <c r="N2038" s="69"/>
      <c r="O2038" s="69"/>
      <c r="P2038" s="69"/>
      <c r="Q2038" s="69"/>
      <c r="R2038" s="69"/>
      <c r="S2038" s="69"/>
      <c r="T2038" s="69"/>
      <c r="U2038" s="69"/>
      <c r="V2038" s="69"/>
      <c r="W2038" s="69"/>
    </row>
    <row r="2039" spans="7:23" x14ac:dyDescent="0.3">
      <c r="G2039" s="69"/>
      <c r="H2039" s="69"/>
      <c r="I2039" s="69"/>
      <c r="J2039" s="69"/>
      <c r="K2039" s="69"/>
      <c r="L2039" s="69"/>
      <c r="M2039" s="69"/>
      <c r="N2039" s="69"/>
      <c r="O2039" s="69"/>
      <c r="P2039" s="69"/>
      <c r="Q2039" s="69"/>
      <c r="R2039" s="69"/>
      <c r="S2039" s="69"/>
      <c r="T2039" s="69"/>
      <c r="U2039" s="69"/>
      <c r="V2039" s="69"/>
      <c r="W2039" s="69"/>
    </row>
    <row r="2040" spans="7:23" x14ac:dyDescent="0.3">
      <c r="G2040" s="69"/>
      <c r="H2040" s="69"/>
      <c r="I2040" s="69"/>
      <c r="J2040" s="69"/>
      <c r="K2040" s="69"/>
      <c r="L2040" s="69"/>
      <c r="M2040" s="69"/>
      <c r="N2040" s="69"/>
      <c r="O2040" s="69"/>
      <c r="P2040" s="69"/>
      <c r="Q2040" s="69"/>
      <c r="R2040" s="69"/>
      <c r="S2040" s="69"/>
      <c r="T2040" s="69"/>
      <c r="U2040" s="69"/>
      <c r="V2040" s="69"/>
      <c r="W2040" s="69"/>
    </row>
    <row r="2041" spans="7:23" x14ac:dyDescent="0.3">
      <c r="G2041" s="69"/>
      <c r="H2041" s="69"/>
      <c r="I2041" s="69"/>
      <c r="J2041" s="69"/>
      <c r="K2041" s="69"/>
      <c r="L2041" s="69"/>
      <c r="M2041" s="69"/>
      <c r="N2041" s="69"/>
      <c r="O2041" s="69"/>
      <c r="P2041" s="69"/>
      <c r="Q2041" s="69"/>
      <c r="R2041" s="69"/>
      <c r="S2041" s="69"/>
      <c r="T2041" s="69"/>
      <c r="U2041" s="69"/>
      <c r="V2041" s="69"/>
      <c r="W2041" s="69"/>
    </row>
    <row r="2042" spans="7:23" x14ac:dyDescent="0.3">
      <c r="G2042" s="69"/>
      <c r="H2042" s="69"/>
      <c r="I2042" s="69"/>
      <c r="J2042" s="69"/>
      <c r="K2042" s="69"/>
      <c r="L2042" s="69"/>
      <c r="M2042" s="69"/>
      <c r="N2042" s="69"/>
      <c r="O2042" s="69"/>
      <c r="P2042" s="69"/>
      <c r="Q2042" s="69"/>
      <c r="R2042" s="69"/>
      <c r="S2042" s="69"/>
      <c r="T2042" s="69"/>
      <c r="U2042" s="69"/>
      <c r="V2042" s="69"/>
      <c r="W2042" s="69"/>
    </row>
    <row r="2043" spans="7:23" x14ac:dyDescent="0.3">
      <c r="G2043" s="69"/>
      <c r="H2043" s="69"/>
      <c r="I2043" s="69"/>
      <c r="J2043" s="69"/>
      <c r="K2043" s="69"/>
      <c r="L2043" s="69"/>
      <c r="M2043" s="69"/>
      <c r="N2043" s="69"/>
      <c r="O2043" s="69"/>
      <c r="P2043" s="69"/>
      <c r="Q2043" s="69"/>
      <c r="R2043" s="69"/>
      <c r="S2043" s="69"/>
      <c r="T2043" s="69"/>
      <c r="U2043" s="69"/>
      <c r="V2043" s="69"/>
      <c r="W2043" s="69"/>
    </row>
    <row r="2044" spans="7:23" x14ac:dyDescent="0.3">
      <c r="G2044" s="69"/>
      <c r="H2044" s="69"/>
      <c r="I2044" s="69"/>
      <c r="J2044" s="69"/>
      <c r="K2044" s="69"/>
      <c r="L2044" s="69"/>
      <c r="M2044" s="69"/>
      <c r="N2044" s="69"/>
      <c r="O2044" s="69"/>
      <c r="P2044" s="69"/>
      <c r="Q2044" s="69"/>
      <c r="R2044" s="69"/>
      <c r="S2044" s="69"/>
      <c r="T2044" s="69"/>
      <c r="U2044" s="69"/>
      <c r="V2044" s="69"/>
      <c r="W2044" s="69"/>
    </row>
    <row r="2045" spans="7:23" x14ac:dyDescent="0.3">
      <c r="G2045" s="69"/>
      <c r="H2045" s="69"/>
      <c r="I2045" s="69"/>
      <c r="J2045" s="69"/>
      <c r="K2045" s="69"/>
      <c r="L2045" s="69"/>
      <c r="M2045" s="69"/>
      <c r="N2045" s="69"/>
      <c r="O2045" s="69"/>
      <c r="P2045" s="69"/>
      <c r="Q2045" s="69"/>
      <c r="R2045" s="69"/>
      <c r="S2045" s="69"/>
      <c r="T2045" s="69"/>
      <c r="U2045" s="69"/>
      <c r="V2045" s="69"/>
      <c r="W2045" s="69"/>
    </row>
    <row r="2046" spans="7:23" x14ac:dyDescent="0.3">
      <c r="G2046" s="69"/>
      <c r="H2046" s="69"/>
      <c r="I2046" s="69"/>
      <c r="J2046" s="69"/>
      <c r="K2046" s="69"/>
      <c r="L2046" s="69"/>
      <c r="M2046" s="69"/>
      <c r="N2046" s="69"/>
      <c r="O2046" s="69"/>
      <c r="P2046" s="69"/>
      <c r="Q2046" s="69"/>
      <c r="R2046" s="69"/>
      <c r="S2046" s="69"/>
      <c r="T2046" s="69"/>
      <c r="U2046" s="69"/>
      <c r="V2046" s="69"/>
      <c r="W2046" s="69"/>
    </row>
    <row r="2047" spans="7:23" x14ac:dyDescent="0.3">
      <c r="G2047" s="69"/>
      <c r="H2047" s="69"/>
      <c r="I2047" s="69"/>
      <c r="J2047" s="69"/>
      <c r="K2047" s="69"/>
      <c r="L2047" s="69"/>
      <c r="M2047" s="69"/>
      <c r="N2047" s="69"/>
      <c r="O2047" s="69"/>
      <c r="P2047" s="69"/>
      <c r="Q2047" s="69"/>
      <c r="R2047" s="69"/>
      <c r="S2047" s="69"/>
      <c r="T2047" s="69"/>
      <c r="U2047" s="69"/>
      <c r="V2047" s="69"/>
      <c r="W2047" s="69"/>
    </row>
    <row r="2048" spans="7:23" x14ac:dyDescent="0.3">
      <c r="G2048" s="69"/>
      <c r="H2048" s="69"/>
      <c r="I2048" s="69"/>
      <c r="J2048" s="69"/>
      <c r="K2048" s="69"/>
      <c r="L2048" s="69"/>
      <c r="M2048" s="69"/>
      <c r="N2048" s="69"/>
      <c r="O2048" s="69"/>
      <c r="P2048" s="69"/>
      <c r="Q2048" s="69"/>
      <c r="R2048" s="69"/>
      <c r="S2048" s="69"/>
      <c r="T2048" s="69"/>
      <c r="U2048" s="69"/>
      <c r="V2048" s="69"/>
      <c r="W2048" s="69"/>
    </row>
    <row r="2049" spans="7:23" x14ac:dyDescent="0.3">
      <c r="G2049" s="69"/>
      <c r="H2049" s="69"/>
      <c r="I2049" s="69"/>
      <c r="J2049" s="69"/>
      <c r="K2049" s="69"/>
      <c r="L2049" s="69"/>
      <c r="M2049" s="69"/>
      <c r="N2049" s="69"/>
      <c r="O2049" s="69"/>
      <c r="P2049" s="69"/>
      <c r="Q2049" s="69"/>
      <c r="R2049" s="69"/>
      <c r="S2049" s="69"/>
      <c r="T2049" s="69"/>
      <c r="U2049" s="69"/>
      <c r="V2049" s="69"/>
      <c r="W2049" s="69"/>
    </row>
    <row r="2050" spans="7:23" x14ac:dyDescent="0.3">
      <c r="G2050" s="69"/>
      <c r="H2050" s="69"/>
      <c r="I2050" s="69"/>
      <c r="J2050" s="69"/>
      <c r="K2050" s="69"/>
      <c r="L2050" s="69"/>
      <c r="M2050" s="69"/>
      <c r="N2050" s="69"/>
      <c r="O2050" s="69"/>
      <c r="P2050" s="69"/>
      <c r="Q2050" s="69"/>
      <c r="R2050" s="69"/>
      <c r="S2050" s="69"/>
      <c r="T2050" s="69"/>
      <c r="U2050" s="69"/>
      <c r="V2050" s="69"/>
      <c r="W2050" s="69"/>
    </row>
    <row r="2051" spans="7:23" x14ac:dyDescent="0.3">
      <c r="G2051" s="69"/>
      <c r="H2051" s="69"/>
      <c r="I2051" s="69"/>
      <c r="J2051" s="69"/>
      <c r="K2051" s="69"/>
      <c r="L2051" s="69"/>
      <c r="M2051" s="69"/>
      <c r="N2051" s="69"/>
      <c r="O2051" s="69"/>
      <c r="P2051" s="69"/>
      <c r="Q2051" s="69"/>
      <c r="R2051" s="69"/>
      <c r="S2051" s="69"/>
      <c r="T2051" s="69"/>
      <c r="U2051" s="69"/>
      <c r="V2051" s="69"/>
      <c r="W2051" s="69"/>
    </row>
    <row r="2052" spans="7:23" x14ac:dyDescent="0.3">
      <c r="G2052" s="69"/>
      <c r="H2052" s="69"/>
      <c r="I2052" s="69"/>
      <c r="J2052" s="69"/>
      <c r="K2052" s="69"/>
      <c r="L2052" s="69"/>
      <c r="M2052" s="69"/>
      <c r="N2052" s="69"/>
      <c r="O2052" s="69"/>
      <c r="P2052" s="69"/>
      <c r="Q2052" s="69"/>
      <c r="R2052" s="69"/>
      <c r="S2052" s="69"/>
      <c r="T2052" s="69"/>
      <c r="U2052" s="69"/>
      <c r="V2052" s="69"/>
      <c r="W2052" s="69"/>
    </row>
    <row r="2053" spans="7:23" x14ac:dyDescent="0.3">
      <c r="G2053" s="69"/>
      <c r="H2053" s="69"/>
      <c r="I2053" s="69"/>
      <c r="J2053" s="69"/>
      <c r="K2053" s="69"/>
      <c r="L2053" s="69"/>
      <c r="M2053" s="69"/>
      <c r="N2053" s="69"/>
      <c r="O2053" s="69"/>
      <c r="P2053" s="69"/>
      <c r="Q2053" s="69"/>
      <c r="R2053" s="69"/>
      <c r="S2053" s="69"/>
      <c r="T2053" s="69"/>
      <c r="U2053" s="69"/>
      <c r="V2053" s="69"/>
      <c r="W2053" s="69"/>
    </row>
    <row r="2054" spans="7:23" x14ac:dyDescent="0.3">
      <c r="G2054" s="69"/>
      <c r="H2054" s="69"/>
      <c r="I2054" s="69"/>
      <c r="J2054" s="69"/>
      <c r="K2054" s="69"/>
      <c r="L2054" s="69"/>
      <c r="M2054" s="69"/>
      <c r="N2054" s="69"/>
      <c r="O2054" s="69"/>
      <c r="P2054" s="69"/>
      <c r="Q2054" s="69"/>
      <c r="R2054" s="69"/>
      <c r="S2054" s="69"/>
      <c r="T2054" s="69"/>
      <c r="U2054" s="69"/>
      <c r="V2054" s="69"/>
      <c r="W2054" s="69"/>
    </row>
    <row r="2055" spans="7:23" x14ac:dyDescent="0.3">
      <c r="G2055" s="69"/>
      <c r="H2055" s="69"/>
      <c r="I2055" s="69"/>
      <c r="J2055" s="69"/>
      <c r="K2055" s="69"/>
      <c r="L2055" s="69"/>
      <c r="M2055" s="69"/>
      <c r="N2055" s="69"/>
      <c r="O2055" s="69"/>
      <c r="P2055" s="69"/>
      <c r="Q2055" s="69"/>
      <c r="R2055" s="69"/>
      <c r="S2055" s="69"/>
      <c r="T2055" s="69"/>
      <c r="U2055" s="69"/>
      <c r="V2055" s="69"/>
      <c r="W2055" s="69"/>
    </row>
    <row r="2056" spans="7:23" x14ac:dyDescent="0.3">
      <c r="G2056" s="69"/>
      <c r="H2056" s="69"/>
      <c r="I2056" s="69"/>
      <c r="J2056" s="69"/>
      <c r="K2056" s="69"/>
      <c r="L2056" s="69"/>
      <c r="M2056" s="69"/>
      <c r="N2056" s="69"/>
      <c r="O2056" s="69"/>
      <c r="P2056" s="69"/>
      <c r="Q2056" s="69"/>
      <c r="R2056" s="69"/>
      <c r="S2056" s="69"/>
      <c r="T2056" s="69"/>
      <c r="U2056" s="69"/>
      <c r="V2056" s="69"/>
      <c r="W2056" s="69"/>
    </row>
    <row r="2057" spans="7:23" x14ac:dyDescent="0.3">
      <c r="G2057" s="69"/>
      <c r="H2057" s="69"/>
      <c r="I2057" s="69"/>
      <c r="J2057" s="69"/>
      <c r="K2057" s="69"/>
      <c r="L2057" s="69"/>
      <c r="M2057" s="69"/>
      <c r="N2057" s="69"/>
      <c r="O2057" s="69"/>
      <c r="P2057" s="69"/>
      <c r="Q2057" s="69"/>
      <c r="R2057" s="69"/>
      <c r="S2057" s="69"/>
      <c r="T2057" s="69"/>
      <c r="U2057" s="69"/>
      <c r="V2057" s="69"/>
      <c r="W2057" s="69"/>
    </row>
    <row r="2058" spans="7:23" x14ac:dyDescent="0.3">
      <c r="G2058" s="69"/>
      <c r="H2058" s="69"/>
      <c r="I2058" s="69"/>
      <c r="J2058" s="69"/>
      <c r="K2058" s="69"/>
      <c r="L2058" s="69"/>
      <c r="M2058" s="69"/>
      <c r="N2058" s="69"/>
      <c r="O2058" s="69"/>
      <c r="P2058" s="69"/>
      <c r="Q2058" s="69"/>
      <c r="R2058" s="69"/>
      <c r="S2058" s="69"/>
      <c r="T2058" s="69"/>
      <c r="U2058" s="69"/>
      <c r="V2058" s="69"/>
      <c r="W2058" s="69"/>
    </row>
    <row r="2059" spans="7:23" x14ac:dyDescent="0.3">
      <c r="G2059" s="69"/>
      <c r="H2059" s="69"/>
      <c r="I2059" s="69"/>
      <c r="J2059" s="69"/>
      <c r="K2059" s="69"/>
      <c r="L2059" s="69"/>
      <c r="M2059" s="69"/>
      <c r="N2059" s="69"/>
      <c r="O2059" s="69"/>
      <c r="P2059" s="69"/>
      <c r="Q2059" s="69"/>
      <c r="R2059" s="69"/>
      <c r="S2059" s="69"/>
      <c r="T2059" s="69"/>
      <c r="U2059" s="69"/>
      <c r="V2059" s="69"/>
      <c r="W2059" s="69"/>
    </row>
    <row r="2060" spans="7:23" x14ac:dyDescent="0.3">
      <c r="G2060" s="69"/>
      <c r="H2060" s="69"/>
      <c r="I2060" s="69"/>
      <c r="J2060" s="69"/>
      <c r="K2060" s="69"/>
      <c r="L2060" s="69"/>
      <c r="M2060" s="69"/>
      <c r="N2060" s="69"/>
      <c r="O2060" s="69"/>
      <c r="P2060" s="69"/>
      <c r="Q2060" s="69"/>
      <c r="R2060" s="69"/>
      <c r="S2060" s="69"/>
      <c r="T2060" s="69"/>
      <c r="U2060" s="69"/>
      <c r="V2060" s="69"/>
      <c r="W2060" s="69"/>
    </row>
    <row r="2061" spans="7:23" x14ac:dyDescent="0.3">
      <c r="G2061" s="69"/>
      <c r="H2061" s="69"/>
      <c r="I2061" s="69"/>
      <c r="J2061" s="69"/>
      <c r="K2061" s="69"/>
      <c r="L2061" s="69"/>
      <c r="M2061" s="69"/>
      <c r="N2061" s="69"/>
      <c r="O2061" s="69"/>
      <c r="P2061" s="69"/>
      <c r="Q2061" s="69"/>
      <c r="R2061" s="69"/>
      <c r="S2061" s="69"/>
      <c r="T2061" s="69"/>
      <c r="U2061" s="69"/>
      <c r="V2061" s="69"/>
      <c r="W2061" s="69"/>
    </row>
    <row r="2062" spans="7:23" x14ac:dyDescent="0.3">
      <c r="G2062" s="69"/>
      <c r="H2062" s="69"/>
      <c r="I2062" s="69"/>
      <c r="J2062" s="69"/>
      <c r="K2062" s="69"/>
      <c r="L2062" s="69"/>
      <c r="M2062" s="69"/>
      <c r="N2062" s="69"/>
      <c r="O2062" s="69"/>
      <c r="P2062" s="69"/>
      <c r="Q2062" s="69"/>
      <c r="R2062" s="69"/>
      <c r="S2062" s="69"/>
      <c r="T2062" s="69"/>
      <c r="U2062" s="69"/>
      <c r="V2062" s="69"/>
      <c r="W2062" s="69"/>
    </row>
    <row r="2063" spans="7:23" x14ac:dyDescent="0.3">
      <c r="G2063" s="69"/>
      <c r="H2063" s="69"/>
      <c r="I2063" s="69"/>
      <c r="J2063" s="69"/>
      <c r="K2063" s="69"/>
      <c r="L2063" s="69"/>
      <c r="M2063" s="69"/>
      <c r="N2063" s="69"/>
      <c r="O2063" s="69"/>
      <c r="P2063" s="69"/>
      <c r="Q2063" s="69"/>
      <c r="R2063" s="69"/>
      <c r="S2063" s="69"/>
      <c r="T2063" s="69"/>
      <c r="U2063" s="69"/>
      <c r="V2063" s="69"/>
      <c r="W2063" s="69"/>
    </row>
    <row r="2064" spans="7:23" x14ac:dyDescent="0.3">
      <c r="G2064" s="69"/>
      <c r="H2064" s="69"/>
      <c r="I2064" s="69"/>
      <c r="J2064" s="69"/>
      <c r="K2064" s="69"/>
      <c r="L2064" s="69"/>
      <c r="M2064" s="69"/>
      <c r="N2064" s="69"/>
      <c r="O2064" s="69"/>
      <c r="P2064" s="69"/>
      <c r="Q2064" s="69"/>
      <c r="R2064" s="69"/>
      <c r="S2064" s="69"/>
      <c r="T2064" s="69"/>
      <c r="U2064" s="69"/>
      <c r="V2064" s="69"/>
      <c r="W2064" s="69"/>
    </row>
    <row r="2065" spans="7:23" x14ac:dyDescent="0.3">
      <c r="G2065" s="69"/>
      <c r="H2065" s="69"/>
      <c r="I2065" s="69"/>
      <c r="J2065" s="69"/>
      <c r="K2065" s="69"/>
      <c r="L2065" s="69"/>
      <c r="M2065" s="69"/>
      <c r="N2065" s="69"/>
      <c r="O2065" s="69"/>
      <c r="P2065" s="69"/>
      <c r="Q2065" s="69"/>
      <c r="R2065" s="69"/>
      <c r="S2065" s="69"/>
      <c r="T2065" s="69"/>
      <c r="U2065" s="69"/>
      <c r="V2065" s="69"/>
      <c r="W2065" s="69"/>
    </row>
    <row r="2066" spans="7:23" x14ac:dyDescent="0.3">
      <c r="G2066" s="69"/>
      <c r="H2066" s="69"/>
      <c r="I2066" s="69"/>
      <c r="J2066" s="69"/>
      <c r="K2066" s="69"/>
      <c r="L2066" s="69"/>
      <c r="M2066" s="69"/>
      <c r="N2066" s="69"/>
      <c r="O2066" s="69"/>
      <c r="P2066" s="69"/>
      <c r="Q2066" s="69"/>
      <c r="R2066" s="69"/>
      <c r="S2066" s="69"/>
      <c r="T2066" s="69"/>
      <c r="U2066" s="69"/>
      <c r="V2066" s="69"/>
      <c r="W2066" s="69"/>
    </row>
    <row r="2067" spans="7:23" x14ac:dyDescent="0.3">
      <c r="G2067" s="69"/>
      <c r="H2067" s="69"/>
      <c r="I2067" s="69"/>
      <c r="J2067" s="69"/>
      <c r="K2067" s="69"/>
      <c r="L2067" s="69"/>
      <c r="M2067" s="69"/>
      <c r="N2067" s="69"/>
      <c r="O2067" s="69"/>
      <c r="P2067" s="69"/>
      <c r="Q2067" s="69"/>
      <c r="R2067" s="69"/>
      <c r="S2067" s="69"/>
      <c r="T2067" s="69"/>
      <c r="U2067" s="69"/>
      <c r="V2067" s="69"/>
      <c r="W2067" s="69"/>
    </row>
    <row r="2068" spans="7:23" x14ac:dyDescent="0.3">
      <c r="G2068" s="69"/>
      <c r="H2068" s="69"/>
      <c r="I2068" s="69"/>
      <c r="J2068" s="69"/>
      <c r="K2068" s="69"/>
      <c r="L2068" s="69"/>
      <c r="M2068" s="69"/>
      <c r="N2068" s="69"/>
      <c r="O2068" s="69"/>
      <c r="P2068" s="69"/>
      <c r="Q2068" s="69"/>
      <c r="R2068" s="69"/>
      <c r="S2068" s="69"/>
      <c r="T2068" s="69"/>
      <c r="U2068" s="69"/>
      <c r="V2068" s="69"/>
      <c r="W2068" s="69"/>
    </row>
    <row r="2069" spans="7:23" x14ac:dyDescent="0.3">
      <c r="G2069" s="69"/>
      <c r="H2069" s="69"/>
      <c r="I2069" s="69"/>
      <c r="J2069" s="69"/>
      <c r="K2069" s="69"/>
      <c r="L2069" s="69"/>
      <c r="M2069" s="69"/>
      <c r="N2069" s="69"/>
      <c r="O2069" s="69"/>
      <c r="P2069" s="69"/>
      <c r="Q2069" s="69"/>
      <c r="R2069" s="69"/>
      <c r="S2069" s="69"/>
      <c r="T2069" s="69"/>
      <c r="U2069" s="69"/>
      <c r="V2069" s="69"/>
      <c r="W2069" s="69"/>
    </row>
    <row r="2070" spans="7:23" x14ac:dyDescent="0.3">
      <c r="G2070" s="69"/>
      <c r="H2070" s="69"/>
      <c r="I2070" s="69"/>
      <c r="J2070" s="69"/>
      <c r="K2070" s="69"/>
      <c r="L2070" s="69"/>
      <c r="M2070" s="69"/>
      <c r="N2070" s="69"/>
      <c r="O2070" s="69"/>
      <c r="P2070" s="69"/>
      <c r="Q2070" s="69"/>
      <c r="R2070" s="69"/>
      <c r="S2070" s="69"/>
      <c r="T2070" s="69"/>
      <c r="U2070" s="69"/>
      <c r="V2070" s="69"/>
      <c r="W2070" s="69"/>
    </row>
    <row r="2071" spans="7:23" x14ac:dyDescent="0.3">
      <c r="G2071" s="69"/>
      <c r="H2071" s="69"/>
      <c r="I2071" s="69"/>
      <c r="J2071" s="69"/>
      <c r="K2071" s="69"/>
      <c r="L2071" s="69"/>
      <c r="M2071" s="69"/>
      <c r="N2071" s="69"/>
      <c r="O2071" s="69"/>
      <c r="P2071" s="69"/>
      <c r="Q2071" s="69"/>
      <c r="R2071" s="69"/>
      <c r="S2071" s="69"/>
      <c r="T2071" s="69"/>
      <c r="U2071" s="69"/>
      <c r="V2071" s="69"/>
      <c r="W2071" s="69"/>
    </row>
    <row r="2072" spans="7:23" x14ac:dyDescent="0.3">
      <c r="G2072" s="69"/>
      <c r="H2072" s="69"/>
      <c r="I2072" s="69"/>
      <c r="J2072" s="69"/>
      <c r="K2072" s="69"/>
      <c r="L2072" s="69"/>
      <c r="M2072" s="69"/>
      <c r="N2072" s="69"/>
      <c r="O2072" s="69"/>
      <c r="P2072" s="69"/>
      <c r="Q2072" s="69"/>
      <c r="R2072" s="69"/>
      <c r="S2072" s="69"/>
      <c r="T2072" s="69"/>
      <c r="U2072" s="69"/>
      <c r="V2072" s="69"/>
      <c r="W2072" s="69"/>
    </row>
    <row r="2073" spans="7:23" x14ac:dyDescent="0.3">
      <c r="G2073" s="69"/>
      <c r="H2073" s="69"/>
      <c r="I2073" s="69"/>
      <c r="J2073" s="69"/>
      <c r="K2073" s="69"/>
      <c r="L2073" s="69"/>
      <c r="M2073" s="69"/>
      <c r="N2073" s="69"/>
      <c r="O2073" s="69"/>
      <c r="P2073" s="69"/>
      <c r="Q2073" s="69"/>
      <c r="R2073" s="69"/>
      <c r="S2073" s="69"/>
      <c r="T2073" s="69"/>
      <c r="U2073" s="69"/>
      <c r="V2073" s="69"/>
      <c r="W2073" s="69"/>
    </row>
    <row r="2074" spans="7:23" x14ac:dyDescent="0.3">
      <c r="G2074" s="69"/>
      <c r="H2074" s="69"/>
      <c r="I2074" s="69"/>
      <c r="J2074" s="69"/>
      <c r="K2074" s="69"/>
      <c r="L2074" s="69"/>
      <c r="M2074" s="69"/>
      <c r="N2074" s="69"/>
      <c r="O2074" s="69"/>
      <c r="P2074" s="69"/>
      <c r="Q2074" s="69"/>
      <c r="R2074" s="69"/>
      <c r="S2074" s="69"/>
      <c r="T2074" s="69"/>
      <c r="U2074" s="69"/>
      <c r="V2074" s="69"/>
      <c r="W2074" s="69"/>
    </row>
    <row r="2075" spans="7:23" x14ac:dyDescent="0.3">
      <c r="G2075" s="69"/>
      <c r="H2075" s="69"/>
      <c r="I2075" s="69"/>
      <c r="J2075" s="69"/>
      <c r="K2075" s="69"/>
      <c r="L2075" s="69"/>
      <c r="M2075" s="69"/>
      <c r="N2075" s="69"/>
      <c r="O2075" s="69"/>
      <c r="P2075" s="69"/>
      <c r="Q2075" s="69"/>
      <c r="R2075" s="69"/>
      <c r="S2075" s="69"/>
      <c r="T2075" s="69"/>
      <c r="U2075" s="69"/>
      <c r="V2075" s="69"/>
      <c r="W2075" s="69"/>
    </row>
    <row r="2076" spans="7:23" x14ac:dyDescent="0.3">
      <c r="G2076" s="69"/>
      <c r="H2076" s="69"/>
      <c r="I2076" s="69"/>
      <c r="J2076" s="69"/>
      <c r="K2076" s="69"/>
      <c r="L2076" s="69"/>
      <c r="M2076" s="69"/>
      <c r="N2076" s="69"/>
      <c r="O2076" s="69"/>
      <c r="P2076" s="69"/>
      <c r="Q2076" s="69"/>
      <c r="R2076" s="69"/>
      <c r="S2076" s="69"/>
      <c r="T2076" s="69"/>
      <c r="U2076" s="69"/>
      <c r="V2076" s="69"/>
      <c r="W2076" s="69"/>
    </row>
    <row r="2077" spans="7:23" x14ac:dyDescent="0.3">
      <c r="G2077" s="69"/>
      <c r="H2077" s="69"/>
      <c r="I2077" s="69"/>
      <c r="J2077" s="69"/>
      <c r="K2077" s="69"/>
      <c r="L2077" s="69"/>
      <c r="M2077" s="69"/>
      <c r="N2077" s="69"/>
      <c r="O2077" s="69"/>
      <c r="P2077" s="69"/>
      <c r="Q2077" s="69"/>
      <c r="R2077" s="69"/>
      <c r="S2077" s="69"/>
      <c r="T2077" s="69"/>
      <c r="U2077" s="69"/>
      <c r="V2077" s="69"/>
      <c r="W2077" s="69"/>
    </row>
    <row r="2078" spans="7:23" x14ac:dyDescent="0.3">
      <c r="G2078" s="69"/>
      <c r="H2078" s="69"/>
      <c r="I2078" s="69"/>
      <c r="J2078" s="69"/>
      <c r="K2078" s="69"/>
      <c r="L2078" s="69"/>
      <c r="M2078" s="69"/>
      <c r="N2078" s="69"/>
      <c r="O2078" s="69"/>
      <c r="P2078" s="69"/>
      <c r="Q2078" s="69"/>
      <c r="R2078" s="69"/>
      <c r="S2078" s="69"/>
      <c r="T2078" s="69"/>
      <c r="U2078" s="69"/>
      <c r="V2078" s="69"/>
      <c r="W2078" s="69"/>
    </row>
    <row r="2079" spans="7:23" x14ac:dyDescent="0.3">
      <c r="G2079" s="69"/>
      <c r="H2079" s="69"/>
      <c r="I2079" s="69"/>
      <c r="J2079" s="69"/>
      <c r="K2079" s="69"/>
      <c r="L2079" s="69"/>
      <c r="M2079" s="69"/>
      <c r="N2079" s="69"/>
      <c r="O2079" s="69"/>
      <c r="P2079" s="69"/>
      <c r="Q2079" s="69"/>
      <c r="R2079" s="69"/>
      <c r="S2079" s="69"/>
      <c r="T2079" s="69"/>
      <c r="U2079" s="69"/>
      <c r="V2079" s="69"/>
      <c r="W2079" s="69"/>
    </row>
    <row r="2080" spans="7:23" x14ac:dyDescent="0.3">
      <c r="G2080" s="69"/>
      <c r="H2080" s="69"/>
      <c r="I2080" s="69"/>
      <c r="J2080" s="69"/>
      <c r="K2080" s="69"/>
      <c r="L2080" s="69"/>
      <c r="M2080" s="69"/>
      <c r="N2080" s="69"/>
      <c r="O2080" s="69"/>
      <c r="P2080" s="69"/>
      <c r="Q2080" s="69"/>
      <c r="R2080" s="69"/>
      <c r="S2080" s="69"/>
      <c r="T2080" s="69"/>
      <c r="U2080" s="69"/>
      <c r="V2080" s="69"/>
      <c r="W2080" s="69"/>
    </row>
    <row r="2081" spans="7:23" x14ac:dyDescent="0.3">
      <c r="G2081" s="69"/>
      <c r="H2081" s="69"/>
      <c r="I2081" s="69"/>
      <c r="J2081" s="69"/>
      <c r="K2081" s="69"/>
      <c r="L2081" s="69"/>
      <c r="M2081" s="69"/>
      <c r="N2081" s="69"/>
      <c r="O2081" s="69"/>
      <c r="P2081" s="69"/>
      <c r="Q2081" s="69"/>
      <c r="R2081" s="69"/>
      <c r="S2081" s="69"/>
      <c r="T2081" s="69"/>
      <c r="U2081" s="69"/>
      <c r="V2081" s="69"/>
      <c r="W2081" s="69"/>
    </row>
    <row r="2082" spans="7:23" x14ac:dyDescent="0.3">
      <c r="G2082" s="69"/>
      <c r="H2082" s="69"/>
      <c r="I2082" s="69"/>
      <c r="J2082" s="69"/>
      <c r="K2082" s="69"/>
      <c r="L2082" s="69"/>
      <c r="M2082" s="69"/>
      <c r="N2082" s="69"/>
      <c r="O2082" s="69"/>
      <c r="P2082" s="69"/>
      <c r="Q2082" s="69"/>
      <c r="R2082" s="69"/>
      <c r="S2082" s="69"/>
      <c r="T2082" s="69"/>
      <c r="U2082" s="69"/>
      <c r="V2082" s="69"/>
      <c r="W2082" s="69"/>
    </row>
    <row r="2083" spans="7:23" x14ac:dyDescent="0.3">
      <c r="G2083" s="69"/>
      <c r="H2083" s="69"/>
      <c r="I2083" s="69"/>
      <c r="J2083" s="69"/>
      <c r="K2083" s="69"/>
      <c r="L2083" s="69"/>
      <c r="M2083" s="69"/>
      <c r="N2083" s="69"/>
      <c r="O2083" s="69"/>
      <c r="P2083" s="69"/>
      <c r="Q2083" s="69"/>
      <c r="R2083" s="69"/>
      <c r="S2083" s="69"/>
      <c r="T2083" s="69"/>
      <c r="U2083" s="69"/>
      <c r="V2083" s="69"/>
      <c r="W2083" s="69"/>
    </row>
    <row r="2084" spans="7:23" x14ac:dyDescent="0.3">
      <c r="G2084" s="69"/>
      <c r="H2084" s="69"/>
      <c r="I2084" s="69"/>
      <c r="J2084" s="69"/>
      <c r="K2084" s="69"/>
      <c r="L2084" s="69"/>
      <c r="M2084" s="69"/>
      <c r="N2084" s="69"/>
      <c r="O2084" s="69"/>
      <c r="P2084" s="69"/>
      <c r="Q2084" s="69"/>
      <c r="R2084" s="69"/>
      <c r="S2084" s="69"/>
      <c r="T2084" s="69"/>
      <c r="U2084" s="69"/>
      <c r="V2084" s="69"/>
      <c r="W2084" s="69"/>
    </row>
    <row r="2085" spans="7:23" x14ac:dyDescent="0.3">
      <c r="G2085" s="69"/>
      <c r="H2085" s="69"/>
      <c r="I2085" s="69"/>
      <c r="J2085" s="69"/>
      <c r="K2085" s="69"/>
      <c r="L2085" s="69"/>
      <c r="M2085" s="69"/>
      <c r="N2085" s="69"/>
      <c r="O2085" s="69"/>
      <c r="P2085" s="69"/>
      <c r="Q2085" s="69"/>
      <c r="R2085" s="69"/>
      <c r="S2085" s="69"/>
      <c r="T2085" s="69"/>
      <c r="U2085" s="69"/>
      <c r="V2085" s="69"/>
      <c r="W2085" s="69"/>
    </row>
    <row r="2086" spans="7:23" x14ac:dyDescent="0.3">
      <c r="G2086" s="69"/>
      <c r="H2086" s="69"/>
      <c r="I2086" s="69"/>
      <c r="J2086" s="69"/>
      <c r="K2086" s="69"/>
      <c r="L2086" s="69"/>
      <c r="M2086" s="69"/>
      <c r="N2086" s="69"/>
      <c r="O2086" s="69"/>
      <c r="P2086" s="69"/>
      <c r="Q2086" s="69"/>
      <c r="R2086" s="69"/>
      <c r="S2086" s="69"/>
      <c r="T2086" s="69"/>
      <c r="U2086" s="69"/>
      <c r="V2086" s="69"/>
      <c r="W2086" s="69"/>
    </row>
    <row r="2087" spans="7:23" x14ac:dyDescent="0.3">
      <c r="G2087" s="69"/>
      <c r="H2087" s="69"/>
      <c r="I2087" s="69"/>
      <c r="J2087" s="69"/>
      <c r="K2087" s="69"/>
      <c r="L2087" s="69"/>
      <c r="M2087" s="69"/>
      <c r="N2087" s="69"/>
      <c r="O2087" s="69"/>
      <c r="P2087" s="69"/>
      <c r="Q2087" s="69"/>
      <c r="R2087" s="69"/>
      <c r="S2087" s="69"/>
      <c r="T2087" s="69"/>
      <c r="U2087" s="69"/>
      <c r="V2087" s="69"/>
      <c r="W2087" s="69"/>
    </row>
    <row r="2088" spans="7:23" x14ac:dyDescent="0.3">
      <c r="G2088" s="69"/>
      <c r="H2088" s="69"/>
      <c r="I2088" s="69"/>
      <c r="J2088" s="69"/>
      <c r="K2088" s="69"/>
      <c r="L2088" s="69"/>
      <c r="M2088" s="69"/>
      <c r="N2088" s="69"/>
      <c r="O2088" s="69"/>
      <c r="P2088" s="69"/>
      <c r="Q2088" s="69"/>
      <c r="R2088" s="69"/>
      <c r="S2088" s="69"/>
      <c r="T2088" s="69"/>
      <c r="U2088" s="69"/>
      <c r="V2088" s="69"/>
      <c r="W2088" s="69"/>
    </row>
    <row r="2089" spans="7:23" x14ac:dyDescent="0.3">
      <c r="G2089" s="69"/>
      <c r="H2089" s="69"/>
      <c r="I2089" s="69"/>
      <c r="J2089" s="69"/>
      <c r="K2089" s="69"/>
      <c r="L2089" s="69"/>
      <c r="M2089" s="69"/>
      <c r="N2089" s="69"/>
      <c r="O2089" s="69"/>
      <c r="P2089" s="69"/>
      <c r="Q2089" s="69"/>
      <c r="R2089" s="69"/>
      <c r="S2089" s="69"/>
      <c r="T2089" s="69"/>
      <c r="U2089" s="69"/>
      <c r="V2089" s="69"/>
      <c r="W2089" s="69"/>
    </row>
    <row r="2090" spans="7:23" x14ac:dyDescent="0.3">
      <c r="G2090" s="69"/>
      <c r="H2090" s="69"/>
      <c r="I2090" s="69"/>
      <c r="J2090" s="69"/>
      <c r="K2090" s="69"/>
      <c r="L2090" s="69"/>
      <c r="M2090" s="69"/>
      <c r="N2090" s="69"/>
      <c r="O2090" s="69"/>
      <c r="P2090" s="69"/>
      <c r="Q2090" s="69"/>
      <c r="R2090" s="69"/>
      <c r="S2090" s="69"/>
      <c r="T2090" s="69"/>
      <c r="U2090" s="69"/>
      <c r="V2090" s="69"/>
      <c r="W2090" s="69"/>
    </row>
    <row r="2091" spans="7:23" x14ac:dyDescent="0.3">
      <c r="G2091" s="69"/>
      <c r="H2091" s="69"/>
      <c r="I2091" s="69"/>
      <c r="J2091" s="69"/>
      <c r="K2091" s="69"/>
      <c r="L2091" s="69"/>
      <c r="M2091" s="69"/>
      <c r="N2091" s="69"/>
      <c r="O2091" s="69"/>
      <c r="P2091" s="69"/>
      <c r="Q2091" s="69"/>
      <c r="R2091" s="69"/>
      <c r="S2091" s="69"/>
      <c r="T2091" s="69"/>
      <c r="U2091" s="69"/>
      <c r="V2091" s="69"/>
      <c r="W2091" s="69"/>
    </row>
    <row r="2092" spans="7:23" x14ac:dyDescent="0.3">
      <c r="G2092" s="69"/>
      <c r="H2092" s="69"/>
      <c r="I2092" s="69"/>
      <c r="J2092" s="69"/>
      <c r="K2092" s="69"/>
      <c r="L2092" s="69"/>
      <c r="M2092" s="69"/>
      <c r="N2092" s="69"/>
      <c r="O2092" s="69"/>
      <c r="P2092" s="69"/>
      <c r="Q2092" s="69"/>
      <c r="R2092" s="69"/>
      <c r="S2092" s="69"/>
      <c r="T2092" s="69"/>
      <c r="U2092" s="69"/>
      <c r="V2092" s="69"/>
      <c r="W2092" s="69"/>
    </row>
    <row r="2093" spans="7:23" x14ac:dyDescent="0.3">
      <c r="G2093" s="69"/>
      <c r="H2093" s="69"/>
      <c r="I2093" s="69"/>
      <c r="J2093" s="69"/>
      <c r="K2093" s="69"/>
      <c r="L2093" s="69"/>
      <c r="M2093" s="69"/>
      <c r="N2093" s="69"/>
      <c r="O2093" s="69"/>
      <c r="P2093" s="69"/>
      <c r="Q2093" s="69"/>
      <c r="R2093" s="69"/>
      <c r="S2093" s="69"/>
      <c r="T2093" s="69"/>
      <c r="U2093" s="69"/>
      <c r="V2093" s="69"/>
      <c r="W2093" s="69"/>
    </row>
    <row r="2094" spans="7:23" x14ac:dyDescent="0.3">
      <c r="G2094" s="69"/>
      <c r="H2094" s="69"/>
      <c r="I2094" s="69"/>
      <c r="J2094" s="69"/>
      <c r="K2094" s="69"/>
      <c r="L2094" s="69"/>
      <c r="M2094" s="69"/>
      <c r="N2094" s="69"/>
      <c r="O2094" s="69"/>
      <c r="P2094" s="69"/>
      <c r="Q2094" s="69"/>
      <c r="R2094" s="69"/>
      <c r="S2094" s="69"/>
      <c r="T2094" s="69"/>
      <c r="U2094" s="69"/>
      <c r="V2094" s="69"/>
      <c r="W2094" s="69"/>
    </row>
    <row r="2095" spans="7:23" x14ac:dyDescent="0.3">
      <c r="G2095" s="69"/>
      <c r="H2095" s="69"/>
      <c r="I2095" s="69"/>
      <c r="J2095" s="69"/>
      <c r="K2095" s="69"/>
      <c r="L2095" s="69"/>
      <c r="M2095" s="69"/>
      <c r="N2095" s="69"/>
      <c r="O2095" s="69"/>
      <c r="P2095" s="69"/>
      <c r="Q2095" s="69"/>
      <c r="R2095" s="69"/>
      <c r="S2095" s="69"/>
      <c r="T2095" s="69"/>
      <c r="U2095" s="69"/>
      <c r="V2095" s="69"/>
      <c r="W2095" s="69"/>
    </row>
    <row r="2096" spans="7:23" x14ac:dyDescent="0.3">
      <c r="G2096" s="69"/>
      <c r="H2096" s="69"/>
      <c r="I2096" s="69"/>
      <c r="J2096" s="69"/>
      <c r="K2096" s="69"/>
      <c r="L2096" s="69"/>
      <c r="M2096" s="69"/>
      <c r="N2096" s="69"/>
      <c r="O2096" s="69"/>
      <c r="P2096" s="69"/>
      <c r="Q2096" s="69"/>
      <c r="R2096" s="69"/>
      <c r="S2096" s="69"/>
      <c r="T2096" s="69"/>
      <c r="U2096" s="69"/>
      <c r="V2096" s="69"/>
      <c r="W2096" s="69"/>
    </row>
    <row r="2097" spans="1:23" x14ac:dyDescent="0.3">
      <c r="G2097" s="69"/>
      <c r="H2097" s="69"/>
      <c r="I2097" s="69"/>
      <c r="J2097" s="69"/>
      <c r="K2097" s="69"/>
      <c r="L2097" s="69"/>
      <c r="M2097" s="69"/>
      <c r="N2097" s="69"/>
      <c r="O2097" s="69"/>
      <c r="P2097" s="69"/>
      <c r="Q2097" s="69"/>
      <c r="R2097" s="69"/>
      <c r="S2097" s="69"/>
      <c r="T2097" s="69"/>
      <c r="U2097" s="69"/>
      <c r="V2097" s="69"/>
      <c r="W2097" s="69"/>
    </row>
    <row r="2098" spans="1:23" x14ac:dyDescent="0.3">
      <c r="G2098" s="69"/>
      <c r="H2098" s="69"/>
      <c r="I2098" s="69"/>
      <c r="J2098" s="69"/>
      <c r="K2098" s="69"/>
      <c r="L2098" s="69"/>
      <c r="M2098" s="69"/>
      <c r="N2098" s="69"/>
      <c r="O2098" s="69"/>
      <c r="P2098" s="69"/>
      <c r="Q2098" s="69"/>
      <c r="R2098" s="69"/>
      <c r="S2098" s="69"/>
      <c r="T2098" s="69"/>
      <c r="U2098" s="69"/>
      <c r="V2098" s="69"/>
      <c r="W2098" s="69"/>
    </row>
    <row r="2099" spans="1:23" x14ac:dyDescent="0.3">
      <c r="G2099" s="69"/>
      <c r="H2099" s="69"/>
      <c r="I2099" s="69"/>
      <c r="J2099" s="69"/>
      <c r="K2099" s="69"/>
      <c r="L2099" s="69"/>
      <c r="M2099" s="69"/>
      <c r="N2099" s="69"/>
      <c r="O2099" s="69"/>
      <c r="P2099" s="69"/>
      <c r="Q2099" s="69"/>
      <c r="R2099" s="69"/>
      <c r="S2099" s="69"/>
      <c r="T2099" s="69"/>
      <c r="U2099" s="69"/>
      <c r="V2099" s="69"/>
      <c r="W2099" s="69"/>
    </row>
    <row r="2100" spans="1:23" ht="21" x14ac:dyDescent="0.4">
      <c r="A2100" s="48"/>
      <c r="G2100" s="69"/>
      <c r="H2100" s="69"/>
      <c r="I2100" s="69"/>
      <c r="J2100" s="69"/>
      <c r="K2100" s="69"/>
      <c r="L2100" s="69"/>
      <c r="M2100" s="69"/>
      <c r="N2100" s="69"/>
      <c r="O2100" s="69"/>
      <c r="P2100" s="69"/>
      <c r="Q2100" s="69"/>
      <c r="R2100" s="69"/>
      <c r="S2100" s="69"/>
      <c r="T2100" s="69"/>
      <c r="U2100" s="69"/>
      <c r="V2100" s="69"/>
      <c r="W2100" s="69"/>
    </row>
    <row r="2101" spans="1:23" x14ac:dyDescent="0.3">
      <c r="G2101" s="69"/>
      <c r="H2101" s="69"/>
      <c r="I2101" s="69"/>
      <c r="J2101" s="69"/>
      <c r="K2101" s="69"/>
      <c r="L2101" s="69"/>
      <c r="M2101" s="69"/>
      <c r="N2101" s="69"/>
      <c r="O2101" s="69"/>
      <c r="P2101" s="69"/>
      <c r="Q2101" s="69"/>
      <c r="R2101" s="69"/>
      <c r="S2101" s="69"/>
      <c r="T2101" s="69"/>
      <c r="U2101" s="69"/>
      <c r="V2101" s="69"/>
      <c r="W2101" s="69"/>
    </row>
    <row r="2102" spans="1:23" x14ac:dyDescent="0.3">
      <c r="G2102" s="69"/>
      <c r="H2102" s="69"/>
      <c r="I2102" s="69"/>
      <c r="J2102" s="69"/>
      <c r="K2102" s="69"/>
      <c r="L2102" s="69"/>
      <c r="M2102" s="69"/>
      <c r="N2102" s="69"/>
      <c r="O2102" s="69"/>
      <c r="P2102" s="69"/>
      <c r="Q2102" s="69"/>
      <c r="R2102" s="69"/>
      <c r="S2102" s="69"/>
      <c r="T2102" s="69"/>
      <c r="U2102" s="69"/>
      <c r="V2102" s="69"/>
      <c r="W2102" s="69"/>
    </row>
    <row r="2103" spans="1:23" x14ac:dyDescent="0.3">
      <c r="G2103" s="69"/>
      <c r="H2103" s="69"/>
      <c r="I2103" s="69"/>
      <c r="J2103" s="69"/>
      <c r="K2103" s="69"/>
      <c r="L2103" s="69"/>
      <c r="M2103" s="69"/>
      <c r="N2103" s="69"/>
      <c r="O2103" s="69"/>
      <c r="P2103" s="69"/>
      <c r="Q2103" s="69"/>
      <c r="R2103" s="69"/>
      <c r="S2103" s="69"/>
      <c r="T2103" s="69"/>
      <c r="U2103" s="69"/>
      <c r="V2103" s="69"/>
      <c r="W2103" s="69"/>
    </row>
    <row r="2104" spans="1:23" x14ac:dyDescent="0.3">
      <c r="G2104" s="69"/>
      <c r="H2104" s="69"/>
      <c r="I2104" s="69"/>
      <c r="J2104" s="69"/>
      <c r="K2104" s="69"/>
      <c r="L2104" s="69"/>
      <c r="M2104" s="69"/>
      <c r="N2104" s="69"/>
      <c r="O2104" s="69"/>
      <c r="P2104" s="69"/>
      <c r="Q2104" s="69"/>
      <c r="R2104" s="69"/>
      <c r="S2104" s="69"/>
      <c r="T2104" s="69"/>
      <c r="U2104" s="69"/>
      <c r="V2104" s="69"/>
      <c r="W2104" s="69"/>
    </row>
    <row r="2105" spans="1:23" x14ac:dyDescent="0.3">
      <c r="G2105" s="69"/>
      <c r="H2105" s="69"/>
      <c r="I2105" s="69"/>
      <c r="J2105" s="69"/>
      <c r="K2105" s="69"/>
      <c r="L2105" s="69"/>
      <c r="M2105" s="69"/>
      <c r="N2105" s="69"/>
      <c r="O2105" s="69"/>
      <c r="P2105" s="69"/>
      <c r="Q2105" s="69"/>
      <c r="R2105" s="69"/>
      <c r="S2105" s="69"/>
      <c r="T2105" s="69"/>
      <c r="U2105" s="69"/>
      <c r="V2105" s="69"/>
      <c r="W2105" s="69"/>
    </row>
    <row r="2106" spans="1:23" x14ac:dyDescent="0.3">
      <c r="G2106" s="69"/>
      <c r="H2106" s="69"/>
      <c r="I2106" s="69"/>
      <c r="J2106" s="69"/>
      <c r="K2106" s="69"/>
      <c r="L2106" s="69"/>
      <c r="M2106" s="69"/>
      <c r="N2106" s="69"/>
      <c r="O2106" s="69"/>
      <c r="P2106" s="69"/>
      <c r="Q2106" s="69"/>
      <c r="R2106" s="69"/>
      <c r="S2106" s="69"/>
      <c r="T2106" s="69"/>
      <c r="U2106" s="69"/>
      <c r="V2106" s="69"/>
      <c r="W2106" s="69"/>
    </row>
    <row r="2107" spans="1:23" x14ac:dyDescent="0.3">
      <c r="G2107" s="69"/>
      <c r="H2107" s="69"/>
      <c r="I2107" s="69"/>
      <c r="J2107" s="69"/>
      <c r="K2107" s="69"/>
      <c r="L2107" s="69"/>
      <c r="M2107" s="69"/>
      <c r="N2107" s="69"/>
      <c r="O2107" s="69"/>
      <c r="P2107" s="69"/>
      <c r="Q2107" s="69"/>
      <c r="R2107" s="69"/>
      <c r="S2107" s="69"/>
      <c r="T2107" s="69"/>
      <c r="U2107" s="69"/>
      <c r="V2107" s="69"/>
      <c r="W2107" s="69"/>
    </row>
    <row r="2108" spans="1:23" x14ac:dyDescent="0.3">
      <c r="G2108" s="69"/>
      <c r="H2108" s="69"/>
      <c r="I2108" s="69"/>
      <c r="J2108" s="69"/>
      <c r="K2108" s="69"/>
      <c r="L2108" s="69"/>
      <c r="M2108" s="69"/>
      <c r="N2108" s="69"/>
      <c r="O2108" s="69"/>
      <c r="P2108" s="69"/>
      <c r="Q2108" s="69"/>
      <c r="R2108" s="69"/>
      <c r="S2108" s="69"/>
      <c r="T2108" s="69"/>
      <c r="U2108" s="69"/>
      <c r="V2108" s="69"/>
      <c r="W2108" s="69"/>
    </row>
    <row r="2109" spans="1:23" x14ac:dyDescent="0.3">
      <c r="G2109" s="69"/>
      <c r="H2109" s="69"/>
      <c r="I2109" s="69"/>
      <c r="J2109" s="69"/>
      <c r="K2109" s="69"/>
      <c r="L2109" s="69"/>
      <c r="M2109" s="69"/>
      <c r="N2109" s="69"/>
      <c r="O2109" s="69"/>
      <c r="P2109" s="69"/>
      <c r="Q2109" s="69"/>
      <c r="R2109" s="69"/>
      <c r="S2109" s="69"/>
      <c r="T2109" s="69"/>
      <c r="U2109" s="69"/>
      <c r="V2109" s="69"/>
      <c r="W2109" s="69"/>
    </row>
    <row r="2110" spans="1:23" x14ac:dyDescent="0.3">
      <c r="G2110" s="69"/>
      <c r="H2110" s="69"/>
      <c r="I2110" s="69"/>
      <c r="J2110" s="69"/>
      <c r="K2110" s="69"/>
      <c r="L2110" s="69"/>
      <c r="M2110" s="69"/>
      <c r="N2110" s="69"/>
      <c r="O2110" s="69"/>
      <c r="P2110" s="69"/>
      <c r="Q2110" s="69"/>
      <c r="R2110" s="69"/>
      <c r="S2110" s="69"/>
      <c r="T2110" s="69"/>
      <c r="U2110" s="69"/>
      <c r="V2110" s="69"/>
      <c r="W2110" s="69"/>
    </row>
    <row r="2111" spans="1:23" x14ac:dyDescent="0.3">
      <c r="G2111" s="69"/>
      <c r="H2111" s="69"/>
      <c r="I2111" s="69"/>
      <c r="J2111" s="69"/>
      <c r="K2111" s="69"/>
      <c r="L2111" s="69"/>
      <c r="M2111" s="69"/>
      <c r="N2111" s="69"/>
      <c r="O2111" s="69"/>
      <c r="P2111" s="69"/>
      <c r="Q2111" s="69"/>
      <c r="R2111" s="69"/>
      <c r="S2111" s="69"/>
      <c r="T2111" s="69"/>
      <c r="U2111" s="69"/>
      <c r="V2111" s="69"/>
      <c r="W2111" s="69"/>
    </row>
    <row r="2112" spans="1:23" x14ac:dyDescent="0.3">
      <c r="G2112" s="69"/>
      <c r="H2112" s="69"/>
      <c r="I2112" s="69"/>
      <c r="J2112" s="69"/>
      <c r="K2112" s="69"/>
      <c r="L2112" s="69"/>
      <c r="M2112" s="69"/>
      <c r="N2112" s="69"/>
      <c r="O2112" s="69"/>
      <c r="P2112" s="69"/>
      <c r="Q2112" s="69"/>
      <c r="R2112" s="69"/>
      <c r="S2112" s="69"/>
      <c r="T2112" s="69"/>
      <c r="U2112" s="69"/>
      <c r="V2112" s="69"/>
      <c r="W2112" s="69"/>
    </row>
    <row r="2113" spans="7:23" x14ac:dyDescent="0.3">
      <c r="G2113" s="69"/>
      <c r="H2113" s="69"/>
      <c r="I2113" s="69"/>
      <c r="J2113" s="69"/>
      <c r="K2113" s="69"/>
      <c r="L2113" s="69"/>
      <c r="M2113" s="69"/>
      <c r="N2113" s="69"/>
      <c r="O2113" s="69"/>
      <c r="P2113" s="69"/>
      <c r="Q2113" s="69"/>
      <c r="R2113" s="69"/>
      <c r="S2113" s="69"/>
      <c r="T2113" s="69"/>
      <c r="U2113" s="69"/>
      <c r="V2113" s="69"/>
      <c r="W2113" s="69"/>
    </row>
    <row r="2114" spans="7:23" x14ac:dyDescent="0.3">
      <c r="G2114" s="69"/>
      <c r="H2114" s="69"/>
      <c r="I2114" s="69"/>
      <c r="J2114" s="69"/>
      <c r="K2114" s="69"/>
      <c r="L2114" s="69"/>
      <c r="M2114" s="69"/>
      <c r="N2114" s="69"/>
      <c r="O2114" s="69"/>
      <c r="P2114" s="69"/>
      <c r="Q2114" s="69"/>
      <c r="R2114" s="69"/>
      <c r="S2114" s="69"/>
      <c r="T2114" s="69"/>
      <c r="U2114" s="69"/>
      <c r="V2114" s="69"/>
      <c r="W2114" s="69"/>
    </row>
    <row r="2115" spans="7:23" x14ac:dyDescent="0.3">
      <c r="G2115" s="69"/>
      <c r="H2115" s="69"/>
      <c r="I2115" s="69"/>
      <c r="J2115" s="69"/>
      <c r="K2115" s="69"/>
      <c r="L2115" s="69"/>
      <c r="M2115" s="69"/>
      <c r="N2115" s="69"/>
      <c r="O2115" s="69"/>
      <c r="P2115" s="69"/>
      <c r="Q2115" s="69"/>
      <c r="R2115" s="69"/>
      <c r="S2115" s="69"/>
      <c r="T2115" s="69"/>
      <c r="U2115" s="69"/>
      <c r="V2115" s="69"/>
      <c r="W2115" s="69"/>
    </row>
    <row r="2116" spans="7:23" x14ac:dyDescent="0.3">
      <c r="G2116" s="69"/>
      <c r="H2116" s="69"/>
      <c r="I2116" s="69"/>
      <c r="J2116" s="69"/>
      <c r="K2116" s="69"/>
      <c r="L2116" s="69"/>
      <c r="M2116" s="69"/>
      <c r="N2116" s="69"/>
      <c r="O2116" s="69"/>
      <c r="P2116" s="69"/>
      <c r="Q2116" s="69"/>
      <c r="R2116" s="69"/>
      <c r="S2116" s="69"/>
      <c r="T2116" s="69"/>
      <c r="U2116" s="69"/>
      <c r="V2116" s="69"/>
      <c r="W2116" s="69"/>
    </row>
    <row r="2117" spans="7:23" x14ac:dyDescent="0.3">
      <c r="G2117" s="69"/>
      <c r="H2117" s="69"/>
      <c r="I2117" s="69"/>
      <c r="J2117" s="69"/>
      <c r="K2117" s="69"/>
      <c r="L2117" s="69"/>
      <c r="M2117" s="69"/>
      <c r="N2117" s="69"/>
      <c r="O2117" s="69"/>
      <c r="P2117" s="69"/>
      <c r="Q2117" s="69"/>
      <c r="R2117" s="69"/>
      <c r="S2117" s="69"/>
      <c r="T2117" s="69"/>
      <c r="U2117" s="69"/>
      <c r="V2117" s="69"/>
      <c r="W2117" s="69"/>
    </row>
    <row r="2118" spans="7:23" x14ac:dyDescent="0.3">
      <c r="G2118" s="69"/>
      <c r="H2118" s="69"/>
      <c r="I2118" s="69"/>
      <c r="J2118" s="69"/>
      <c r="K2118" s="69"/>
      <c r="L2118" s="69"/>
      <c r="M2118" s="69"/>
      <c r="N2118" s="69"/>
      <c r="O2118" s="69"/>
      <c r="P2118" s="69"/>
      <c r="Q2118" s="69"/>
      <c r="R2118" s="69"/>
      <c r="S2118" s="69"/>
      <c r="T2118" s="69"/>
      <c r="U2118" s="69"/>
      <c r="V2118" s="69"/>
      <c r="W2118" s="69"/>
    </row>
    <row r="2119" spans="7:23" x14ac:dyDescent="0.3">
      <c r="G2119" s="69"/>
      <c r="H2119" s="69"/>
      <c r="I2119" s="69"/>
      <c r="J2119" s="69"/>
      <c r="K2119" s="69"/>
      <c r="L2119" s="69"/>
      <c r="M2119" s="69"/>
      <c r="N2119" s="69"/>
      <c r="O2119" s="69"/>
      <c r="P2119" s="69"/>
      <c r="Q2119" s="69"/>
      <c r="R2119" s="69"/>
      <c r="S2119" s="69"/>
      <c r="T2119" s="69"/>
      <c r="U2119" s="69"/>
      <c r="V2119" s="69"/>
      <c r="W2119" s="69"/>
    </row>
    <row r="2120" spans="7:23" x14ac:dyDescent="0.3">
      <c r="G2120" s="69"/>
      <c r="H2120" s="69"/>
      <c r="I2120" s="69"/>
      <c r="J2120" s="69"/>
      <c r="K2120" s="69"/>
      <c r="L2120" s="69"/>
      <c r="M2120" s="69"/>
      <c r="N2120" s="69"/>
      <c r="O2120" s="69"/>
      <c r="P2120" s="69"/>
      <c r="Q2120" s="69"/>
      <c r="R2120" s="69"/>
      <c r="S2120" s="69"/>
      <c r="T2120" s="69"/>
      <c r="U2120" s="69"/>
      <c r="V2120" s="69"/>
      <c r="W2120" s="69"/>
    </row>
    <row r="2121" spans="7:23" x14ac:dyDescent="0.3">
      <c r="G2121" s="69"/>
      <c r="H2121" s="69"/>
      <c r="I2121" s="69"/>
      <c r="J2121" s="69"/>
      <c r="K2121" s="69"/>
      <c r="L2121" s="69"/>
      <c r="M2121" s="69"/>
      <c r="N2121" s="69"/>
      <c r="O2121" s="69"/>
      <c r="P2121" s="69"/>
      <c r="Q2121" s="69"/>
      <c r="R2121" s="69"/>
      <c r="S2121" s="69"/>
      <c r="T2121" s="69"/>
      <c r="U2121" s="69"/>
      <c r="V2121" s="69"/>
      <c r="W2121" s="69"/>
    </row>
    <row r="2122" spans="7:23" x14ac:dyDescent="0.3">
      <c r="G2122" s="69"/>
      <c r="H2122" s="69"/>
      <c r="I2122" s="69"/>
      <c r="J2122" s="69"/>
      <c r="K2122" s="69"/>
      <c r="L2122" s="69"/>
      <c r="M2122" s="69"/>
      <c r="N2122" s="69"/>
      <c r="O2122" s="69"/>
      <c r="P2122" s="69"/>
      <c r="Q2122" s="69"/>
      <c r="R2122" s="69"/>
      <c r="S2122" s="69"/>
      <c r="T2122" s="69"/>
      <c r="U2122" s="69"/>
      <c r="V2122" s="69"/>
      <c r="W2122" s="69"/>
    </row>
    <row r="2123" spans="7:23" x14ac:dyDescent="0.3">
      <c r="G2123" s="69"/>
      <c r="H2123" s="69"/>
      <c r="I2123" s="69"/>
      <c r="J2123" s="69"/>
      <c r="K2123" s="69"/>
      <c r="L2123" s="69"/>
      <c r="M2123" s="69"/>
      <c r="N2123" s="69"/>
      <c r="O2123" s="69"/>
      <c r="P2123" s="69"/>
      <c r="Q2123" s="69"/>
      <c r="R2123" s="69"/>
      <c r="S2123" s="69"/>
      <c r="T2123" s="69"/>
      <c r="U2123" s="69"/>
      <c r="V2123" s="69"/>
      <c r="W2123" s="69"/>
    </row>
    <row r="2124" spans="7:23" x14ac:dyDescent="0.3">
      <c r="G2124" s="69"/>
      <c r="H2124" s="69"/>
      <c r="I2124" s="69"/>
      <c r="J2124" s="69"/>
      <c r="K2124" s="69"/>
      <c r="L2124" s="69"/>
      <c r="M2124" s="69"/>
      <c r="N2124" s="69"/>
      <c r="O2124" s="69"/>
      <c r="P2124" s="69"/>
      <c r="Q2124" s="69"/>
      <c r="R2124" s="69"/>
      <c r="S2124" s="69"/>
      <c r="T2124" s="69"/>
      <c r="U2124" s="69"/>
      <c r="V2124" s="69"/>
      <c r="W2124" s="69"/>
    </row>
    <row r="2125" spans="7:23" x14ac:dyDescent="0.3">
      <c r="G2125" s="69"/>
      <c r="H2125" s="69"/>
      <c r="I2125" s="69"/>
      <c r="J2125" s="69"/>
      <c r="K2125" s="69"/>
      <c r="L2125" s="69"/>
      <c r="M2125" s="69"/>
      <c r="N2125" s="69"/>
      <c r="O2125" s="69"/>
      <c r="P2125" s="69"/>
      <c r="Q2125" s="69"/>
      <c r="R2125" s="69"/>
      <c r="S2125" s="69"/>
      <c r="T2125" s="69"/>
      <c r="U2125" s="69"/>
      <c r="V2125" s="69"/>
      <c r="W2125" s="69"/>
    </row>
    <row r="2126" spans="7:23" x14ac:dyDescent="0.3">
      <c r="G2126" s="69"/>
      <c r="H2126" s="69"/>
      <c r="I2126" s="69"/>
      <c r="J2126" s="69"/>
      <c r="K2126" s="69"/>
      <c r="L2126" s="69"/>
      <c r="M2126" s="69"/>
      <c r="N2126" s="69"/>
      <c r="O2126" s="69"/>
      <c r="P2126" s="69"/>
      <c r="Q2126" s="69"/>
      <c r="R2126" s="69"/>
      <c r="S2126" s="69"/>
      <c r="T2126" s="69"/>
      <c r="U2126" s="69"/>
      <c r="V2126" s="69"/>
      <c r="W2126" s="69"/>
    </row>
    <row r="2127" spans="7:23" x14ac:dyDescent="0.3">
      <c r="G2127" s="69"/>
      <c r="H2127" s="69"/>
      <c r="I2127" s="69"/>
      <c r="J2127" s="69"/>
      <c r="K2127" s="69"/>
      <c r="L2127" s="69"/>
      <c r="M2127" s="69"/>
      <c r="N2127" s="69"/>
      <c r="O2127" s="69"/>
      <c r="P2127" s="69"/>
      <c r="Q2127" s="69"/>
      <c r="R2127" s="69"/>
      <c r="S2127" s="69"/>
      <c r="T2127" s="69"/>
      <c r="U2127" s="69"/>
      <c r="V2127" s="69"/>
      <c r="W2127" s="69"/>
    </row>
    <row r="2128" spans="7:23" x14ac:dyDescent="0.3">
      <c r="G2128" s="69"/>
      <c r="H2128" s="69"/>
      <c r="I2128" s="69"/>
      <c r="J2128" s="69"/>
      <c r="K2128" s="69"/>
      <c r="L2128" s="69"/>
      <c r="M2128" s="69"/>
      <c r="N2128" s="69"/>
      <c r="O2128" s="69"/>
      <c r="P2128" s="69"/>
      <c r="Q2128" s="69"/>
      <c r="R2128" s="69"/>
      <c r="S2128" s="69"/>
      <c r="T2128" s="69"/>
      <c r="U2128" s="69"/>
      <c r="V2128" s="69"/>
      <c r="W2128" s="69"/>
    </row>
    <row r="2129" spans="7:23" x14ac:dyDescent="0.3">
      <c r="G2129" s="69"/>
      <c r="H2129" s="69"/>
      <c r="I2129" s="69"/>
      <c r="J2129" s="69"/>
      <c r="K2129" s="69"/>
      <c r="L2129" s="69"/>
      <c r="M2129" s="69"/>
      <c r="N2129" s="69"/>
      <c r="O2129" s="69"/>
      <c r="P2129" s="69"/>
      <c r="Q2129" s="69"/>
      <c r="R2129" s="69"/>
      <c r="S2129" s="69"/>
      <c r="T2129" s="69"/>
      <c r="U2129" s="69"/>
      <c r="V2129" s="69"/>
      <c r="W2129" s="69"/>
    </row>
    <row r="2130" spans="7:23" x14ac:dyDescent="0.3">
      <c r="G2130" s="69"/>
      <c r="H2130" s="69"/>
      <c r="I2130" s="69"/>
      <c r="J2130" s="69"/>
      <c r="K2130" s="69"/>
      <c r="L2130" s="69"/>
      <c r="M2130" s="69"/>
      <c r="N2130" s="69"/>
      <c r="O2130" s="69"/>
      <c r="P2130" s="69"/>
      <c r="Q2130" s="69"/>
      <c r="R2130" s="69"/>
      <c r="S2130" s="69"/>
      <c r="T2130" s="69"/>
      <c r="U2130" s="69"/>
      <c r="V2130" s="69"/>
      <c r="W2130" s="69"/>
    </row>
    <row r="2131" spans="7:23" x14ac:dyDescent="0.3">
      <c r="G2131" s="69"/>
      <c r="H2131" s="69"/>
      <c r="I2131" s="69"/>
      <c r="J2131" s="69"/>
      <c r="K2131" s="69"/>
      <c r="L2131" s="69"/>
      <c r="M2131" s="69"/>
      <c r="N2131" s="69"/>
      <c r="O2131" s="69"/>
      <c r="P2131" s="69"/>
      <c r="Q2131" s="69"/>
      <c r="R2131" s="69"/>
      <c r="S2131" s="69"/>
      <c r="T2131" s="69"/>
      <c r="U2131" s="69"/>
      <c r="V2131" s="69"/>
      <c r="W2131" s="69"/>
    </row>
    <row r="2132" spans="7:23" x14ac:dyDescent="0.3">
      <c r="G2132" s="69"/>
      <c r="H2132" s="69"/>
      <c r="I2132" s="69"/>
      <c r="J2132" s="69"/>
      <c r="K2132" s="69"/>
      <c r="L2132" s="69"/>
      <c r="M2132" s="69"/>
      <c r="N2132" s="69"/>
      <c r="O2132" s="69"/>
      <c r="P2132" s="69"/>
      <c r="Q2132" s="69"/>
      <c r="R2132" s="69"/>
      <c r="S2132" s="69"/>
      <c r="T2132" s="69"/>
      <c r="U2132" s="69"/>
      <c r="V2132" s="69"/>
      <c r="W2132" s="69"/>
    </row>
    <row r="2133" spans="7:23" x14ac:dyDescent="0.3">
      <c r="G2133" s="69"/>
      <c r="H2133" s="69"/>
      <c r="I2133" s="69"/>
      <c r="J2133" s="69"/>
      <c r="K2133" s="69"/>
      <c r="L2133" s="69"/>
      <c r="M2133" s="69"/>
      <c r="N2133" s="69"/>
      <c r="O2133" s="69"/>
      <c r="P2133" s="69"/>
      <c r="Q2133" s="69"/>
      <c r="R2133" s="69"/>
      <c r="S2133" s="69"/>
      <c r="T2133" s="69"/>
      <c r="U2133" s="69"/>
      <c r="V2133" s="69"/>
      <c r="W2133" s="69"/>
    </row>
    <row r="2134" spans="7:23" x14ac:dyDescent="0.3">
      <c r="G2134" s="69"/>
      <c r="H2134" s="69"/>
      <c r="I2134" s="69"/>
      <c r="J2134" s="69"/>
      <c r="K2134" s="69"/>
      <c r="L2134" s="69"/>
      <c r="M2134" s="69"/>
      <c r="N2134" s="69"/>
      <c r="O2134" s="69"/>
      <c r="P2134" s="69"/>
      <c r="Q2134" s="69"/>
      <c r="R2134" s="69"/>
      <c r="S2134" s="69"/>
      <c r="T2134" s="69"/>
      <c r="U2134" s="69"/>
      <c r="V2134" s="69"/>
      <c r="W2134" s="69"/>
    </row>
    <row r="2135" spans="7:23" x14ac:dyDescent="0.3">
      <c r="G2135" s="69"/>
      <c r="H2135" s="69"/>
      <c r="I2135" s="69"/>
      <c r="J2135" s="69"/>
      <c r="K2135" s="69"/>
      <c r="L2135" s="69"/>
      <c r="M2135" s="69"/>
      <c r="N2135" s="69"/>
      <c r="O2135" s="69"/>
      <c r="P2135" s="69"/>
      <c r="Q2135" s="69"/>
      <c r="R2135" s="69"/>
      <c r="S2135" s="69"/>
      <c r="T2135" s="69"/>
      <c r="U2135" s="69"/>
      <c r="V2135" s="69"/>
      <c r="W2135" s="69"/>
    </row>
    <row r="2136" spans="7:23" x14ac:dyDescent="0.3">
      <c r="G2136" s="69"/>
      <c r="H2136" s="69"/>
      <c r="I2136" s="69"/>
      <c r="J2136" s="69"/>
      <c r="K2136" s="69"/>
      <c r="L2136" s="69"/>
      <c r="M2136" s="69"/>
      <c r="N2136" s="69"/>
      <c r="O2136" s="69"/>
      <c r="P2136" s="69"/>
      <c r="Q2136" s="69"/>
      <c r="R2136" s="69"/>
      <c r="S2136" s="69"/>
      <c r="T2136" s="69"/>
      <c r="U2136" s="69"/>
      <c r="V2136" s="69"/>
      <c r="W2136" s="69"/>
    </row>
    <row r="2137" spans="7:23" x14ac:dyDescent="0.3">
      <c r="G2137" s="69"/>
      <c r="H2137" s="69"/>
      <c r="I2137" s="69"/>
      <c r="J2137" s="69"/>
      <c r="K2137" s="69"/>
      <c r="L2137" s="69"/>
      <c r="M2137" s="69"/>
      <c r="N2137" s="69"/>
      <c r="O2137" s="69"/>
      <c r="P2137" s="69"/>
      <c r="Q2137" s="69"/>
      <c r="R2137" s="69"/>
      <c r="S2137" s="69"/>
      <c r="T2137" s="69"/>
      <c r="U2137" s="69"/>
      <c r="V2137" s="69"/>
      <c r="W2137" s="69"/>
    </row>
    <row r="2138" spans="7:23" x14ac:dyDescent="0.3">
      <c r="G2138" s="69"/>
      <c r="H2138" s="69"/>
      <c r="I2138" s="69"/>
      <c r="J2138" s="69"/>
      <c r="K2138" s="69"/>
      <c r="L2138" s="69"/>
      <c r="M2138" s="69"/>
      <c r="N2138" s="69"/>
      <c r="O2138" s="69"/>
      <c r="P2138" s="69"/>
      <c r="Q2138" s="69"/>
      <c r="R2138" s="69"/>
      <c r="S2138" s="69"/>
      <c r="T2138" s="69"/>
      <c r="U2138" s="69"/>
      <c r="V2138" s="69"/>
      <c r="W2138" s="69"/>
    </row>
    <row r="2139" spans="7:23" x14ac:dyDescent="0.3">
      <c r="G2139" s="69"/>
      <c r="H2139" s="69"/>
      <c r="I2139" s="69"/>
      <c r="J2139" s="69"/>
      <c r="K2139" s="69"/>
      <c r="L2139" s="69"/>
      <c r="M2139" s="69"/>
      <c r="N2139" s="69"/>
      <c r="O2139" s="69"/>
      <c r="P2139" s="69"/>
      <c r="Q2139" s="69"/>
      <c r="R2139" s="69"/>
      <c r="S2139" s="69"/>
      <c r="T2139" s="69"/>
      <c r="U2139" s="69"/>
      <c r="V2139" s="69"/>
      <c r="W2139" s="69"/>
    </row>
    <row r="2140" spans="7:23" x14ac:dyDescent="0.3">
      <c r="G2140" s="69"/>
      <c r="H2140" s="69"/>
      <c r="I2140" s="69"/>
      <c r="J2140" s="69"/>
      <c r="K2140" s="69"/>
      <c r="L2140" s="69"/>
      <c r="M2140" s="69"/>
      <c r="N2140" s="69"/>
      <c r="O2140" s="69"/>
      <c r="P2140" s="69"/>
      <c r="Q2140" s="69"/>
      <c r="R2140" s="69"/>
      <c r="S2140" s="69"/>
      <c r="T2140" s="69"/>
      <c r="U2140" s="69"/>
      <c r="V2140" s="69"/>
      <c r="W2140" s="69"/>
    </row>
    <row r="2141" spans="7:23" x14ac:dyDescent="0.3">
      <c r="G2141" s="69"/>
      <c r="H2141" s="69"/>
      <c r="I2141" s="69"/>
      <c r="J2141" s="69"/>
      <c r="K2141" s="69"/>
      <c r="L2141" s="69"/>
      <c r="M2141" s="69"/>
      <c r="N2141" s="69"/>
      <c r="O2141" s="69"/>
      <c r="P2141" s="69"/>
      <c r="Q2141" s="69"/>
      <c r="R2141" s="69"/>
      <c r="S2141" s="69"/>
      <c r="T2141" s="69"/>
      <c r="U2141" s="69"/>
      <c r="V2141" s="69"/>
      <c r="W2141" s="69"/>
    </row>
    <row r="2142" spans="7:23" x14ac:dyDescent="0.3">
      <c r="G2142" s="69"/>
      <c r="H2142" s="69"/>
      <c r="I2142" s="69"/>
      <c r="J2142" s="69"/>
      <c r="K2142" s="69"/>
      <c r="L2142" s="69"/>
      <c r="M2142" s="69"/>
      <c r="N2142" s="69"/>
      <c r="O2142" s="69"/>
      <c r="P2142" s="69"/>
      <c r="Q2142" s="69"/>
      <c r="R2142" s="69"/>
      <c r="S2142" s="69"/>
      <c r="T2142" s="69"/>
      <c r="U2142" s="69"/>
      <c r="V2142" s="69"/>
      <c r="W2142" s="69"/>
    </row>
    <row r="2143" spans="7:23" x14ac:dyDescent="0.3">
      <c r="G2143" s="69"/>
      <c r="H2143" s="69"/>
      <c r="I2143" s="69"/>
      <c r="J2143" s="69"/>
      <c r="K2143" s="69"/>
      <c r="L2143" s="69"/>
      <c r="M2143" s="69"/>
      <c r="N2143" s="69"/>
      <c r="O2143" s="69"/>
      <c r="P2143" s="69"/>
      <c r="Q2143" s="69"/>
      <c r="R2143" s="69"/>
      <c r="S2143" s="69"/>
      <c r="T2143" s="69"/>
      <c r="U2143" s="69"/>
      <c r="V2143" s="69"/>
      <c r="W2143" s="69"/>
    </row>
    <row r="2144" spans="7:23" x14ac:dyDescent="0.3">
      <c r="G2144" s="69"/>
      <c r="H2144" s="69"/>
      <c r="I2144" s="69"/>
      <c r="J2144" s="69"/>
      <c r="K2144" s="69"/>
      <c r="L2144" s="69"/>
      <c r="M2144" s="69"/>
      <c r="N2144" s="69"/>
      <c r="O2144" s="69"/>
      <c r="P2144" s="69"/>
      <c r="Q2144" s="69"/>
      <c r="R2144" s="69"/>
      <c r="S2144" s="69"/>
      <c r="T2144" s="69"/>
      <c r="U2144" s="69"/>
      <c r="V2144" s="69"/>
      <c r="W2144" s="69"/>
    </row>
    <row r="2145" spans="7:23" x14ac:dyDescent="0.3">
      <c r="G2145" s="69"/>
      <c r="H2145" s="69"/>
      <c r="I2145" s="69"/>
      <c r="J2145" s="69"/>
      <c r="K2145" s="69"/>
      <c r="L2145" s="69"/>
      <c r="M2145" s="69"/>
      <c r="N2145" s="69"/>
      <c r="O2145" s="69"/>
      <c r="P2145" s="69"/>
      <c r="Q2145" s="69"/>
      <c r="R2145" s="69"/>
      <c r="S2145" s="69"/>
      <c r="T2145" s="69"/>
      <c r="U2145" s="69"/>
      <c r="V2145" s="69"/>
      <c r="W2145" s="69"/>
    </row>
    <row r="2146" spans="7:23" x14ac:dyDescent="0.3">
      <c r="G2146" s="69"/>
      <c r="H2146" s="69"/>
      <c r="I2146" s="69"/>
      <c r="J2146" s="69"/>
      <c r="K2146" s="69"/>
      <c r="L2146" s="69"/>
      <c r="M2146" s="69"/>
      <c r="N2146" s="69"/>
      <c r="O2146" s="69"/>
      <c r="P2146" s="69"/>
      <c r="Q2146" s="69"/>
      <c r="R2146" s="69"/>
      <c r="S2146" s="69"/>
      <c r="T2146" s="69"/>
      <c r="U2146" s="69"/>
      <c r="V2146" s="69"/>
      <c r="W2146" s="69"/>
    </row>
    <row r="2147" spans="7:23" x14ac:dyDescent="0.3">
      <c r="G2147" s="69"/>
      <c r="H2147" s="69"/>
      <c r="I2147" s="69"/>
      <c r="J2147" s="69"/>
      <c r="K2147" s="69"/>
      <c r="L2147" s="69"/>
      <c r="M2147" s="69"/>
      <c r="N2147" s="69"/>
      <c r="O2147" s="69"/>
      <c r="P2147" s="69"/>
      <c r="Q2147" s="69"/>
      <c r="R2147" s="69"/>
      <c r="S2147" s="69"/>
      <c r="T2147" s="69"/>
      <c r="U2147" s="69"/>
      <c r="V2147" s="69"/>
      <c r="W2147" s="69"/>
    </row>
    <row r="2148" spans="7:23" x14ac:dyDescent="0.3">
      <c r="G2148" s="69"/>
      <c r="H2148" s="69"/>
      <c r="I2148" s="69"/>
      <c r="J2148" s="69"/>
      <c r="K2148" s="69"/>
      <c r="L2148" s="69"/>
      <c r="M2148" s="69"/>
      <c r="N2148" s="69"/>
      <c r="O2148" s="69"/>
      <c r="P2148" s="69"/>
      <c r="Q2148" s="69"/>
      <c r="R2148" s="69"/>
      <c r="S2148" s="69"/>
      <c r="T2148" s="69"/>
      <c r="U2148" s="69"/>
      <c r="V2148" s="69"/>
      <c r="W2148" s="69"/>
    </row>
    <row r="2149" spans="7:23" x14ac:dyDescent="0.3">
      <c r="G2149" s="69"/>
      <c r="H2149" s="69"/>
      <c r="I2149" s="69"/>
      <c r="J2149" s="69"/>
      <c r="K2149" s="69"/>
      <c r="L2149" s="69"/>
      <c r="M2149" s="69"/>
      <c r="N2149" s="69"/>
      <c r="O2149" s="69"/>
      <c r="P2149" s="69"/>
      <c r="Q2149" s="69"/>
      <c r="R2149" s="69"/>
      <c r="S2149" s="69"/>
      <c r="T2149" s="69"/>
      <c r="U2149" s="69"/>
      <c r="V2149" s="69"/>
      <c r="W2149" s="69"/>
    </row>
    <row r="2150" spans="7:23" x14ac:dyDescent="0.3">
      <c r="G2150" s="69"/>
      <c r="H2150" s="69"/>
      <c r="I2150" s="69"/>
      <c r="J2150" s="69"/>
      <c r="K2150" s="69"/>
      <c r="L2150" s="69"/>
      <c r="M2150" s="69"/>
      <c r="N2150" s="69"/>
      <c r="O2150" s="69"/>
      <c r="P2150" s="69"/>
      <c r="Q2150" s="69"/>
      <c r="R2150" s="69"/>
      <c r="S2150" s="69"/>
      <c r="T2150" s="69"/>
      <c r="U2150" s="69"/>
      <c r="V2150" s="69"/>
      <c r="W2150" s="69"/>
    </row>
    <row r="2151" spans="7:23" x14ac:dyDescent="0.3">
      <c r="G2151" s="69"/>
      <c r="H2151" s="69"/>
      <c r="I2151" s="69"/>
      <c r="J2151" s="69"/>
      <c r="K2151" s="69"/>
      <c r="L2151" s="69"/>
      <c r="M2151" s="69"/>
      <c r="N2151" s="69"/>
      <c r="O2151" s="69"/>
      <c r="P2151" s="69"/>
      <c r="Q2151" s="69"/>
      <c r="R2151" s="69"/>
      <c r="S2151" s="69"/>
      <c r="T2151" s="69"/>
      <c r="U2151" s="69"/>
      <c r="V2151" s="69"/>
      <c r="W2151" s="69"/>
    </row>
    <row r="2152" spans="7:23" x14ac:dyDescent="0.3">
      <c r="G2152" s="69"/>
      <c r="H2152" s="69"/>
      <c r="I2152" s="69"/>
      <c r="J2152" s="69"/>
      <c r="K2152" s="69"/>
      <c r="L2152" s="69"/>
      <c r="M2152" s="69"/>
      <c r="N2152" s="69"/>
      <c r="O2152" s="69"/>
      <c r="P2152" s="69"/>
      <c r="Q2152" s="69"/>
      <c r="R2152" s="69"/>
      <c r="S2152" s="69"/>
      <c r="T2152" s="69"/>
      <c r="U2152" s="69"/>
      <c r="V2152" s="69"/>
      <c r="W2152" s="69"/>
    </row>
    <row r="2153" spans="7:23" x14ac:dyDescent="0.3">
      <c r="G2153" s="69"/>
      <c r="H2153" s="69"/>
      <c r="I2153" s="69"/>
      <c r="J2153" s="69"/>
      <c r="K2153" s="69"/>
      <c r="L2153" s="69"/>
      <c r="M2153" s="69"/>
      <c r="N2153" s="69"/>
      <c r="O2153" s="69"/>
      <c r="P2153" s="69"/>
      <c r="Q2153" s="69"/>
      <c r="R2153" s="69"/>
      <c r="S2153" s="69"/>
      <c r="T2153" s="69"/>
      <c r="U2153" s="69"/>
      <c r="V2153" s="69"/>
      <c r="W2153" s="69"/>
    </row>
    <row r="2154" spans="7:23" x14ac:dyDescent="0.3">
      <c r="G2154" s="69"/>
      <c r="H2154" s="69"/>
      <c r="I2154" s="69"/>
      <c r="J2154" s="69"/>
      <c r="K2154" s="69"/>
      <c r="L2154" s="69"/>
      <c r="M2154" s="69"/>
      <c r="N2154" s="69"/>
      <c r="O2154" s="69"/>
      <c r="P2154" s="69"/>
      <c r="Q2154" s="69"/>
      <c r="R2154" s="69"/>
      <c r="S2154" s="69"/>
      <c r="T2154" s="69"/>
      <c r="U2154" s="69"/>
      <c r="V2154" s="69"/>
      <c r="W2154" s="69"/>
    </row>
    <row r="2155" spans="7:23" x14ac:dyDescent="0.3">
      <c r="G2155" s="69"/>
      <c r="H2155" s="69"/>
      <c r="I2155" s="69"/>
      <c r="J2155" s="69"/>
      <c r="K2155" s="69"/>
      <c r="L2155" s="69"/>
      <c r="M2155" s="69"/>
      <c r="N2155" s="69"/>
      <c r="O2155" s="69"/>
      <c r="P2155" s="69"/>
      <c r="Q2155" s="69"/>
      <c r="R2155" s="69"/>
      <c r="S2155" s="69"/>
      <c r="T2155" s="69"/>
      <c r="U2155" s="69"/>
      <c r="V2155" s="69"/>
      <c r="W2155" s="69"/>
    </row>
    <row r="2156" spans="7:23" x14ac:dyDescent="0.3">
      <c r="G2156" s="69"/>
      <c r="H2156" s="69"/>
      <c r="I2156" s="69"/>
      <c r="J2156" s="69"/>
      <c r="K2156" s="69"/>
      <c r="L2156" s="69"/>
      <c r="M2156" s="69"/>
      <c r="N2156" s="69"/>
      <c r="O2156" s="69"/>
      <c r="P2156" s="69"/>
      <c r="Q2156" s="69"/>
      <c r="R2156" s="69"/>
      <c r="S2156" s="69"/>
      <c r="T2156" s="69"/>
      <c r="U2156" s="69"/>
      <c r="V2156" s="69"/>
      <c r="W2156" s="69"/>
    </row>
    <row r="2157" spans="7:23" x14ac:dyDescent="0.3">
      <c r="G2157" s="69"/>
      <c r="H2157" s="69"/>
      <c r="I2157" s="69"/>
      <c r="J2157" s="69"/>
      <c r="K2157" s="69"/>
      <c r="L2157" s="69"/>
      <c r="M2157" s="69"/>
      <c r="N2157" s="69"/>
      <c r="O2157" s="69"/>
      <c r="P2157" s="69"/>
      <c r="Q2157" s="69"/>
      <c r="R2157" s="69"/>
      <c r="S2157" s="69"/>
      <c r="T2157" s="69"/>
      <c r="U2157" s="69"/>
      <c r="V2157" s="69"/>
      <c r="W2157" s="69"/>
    </row>
    <row r="2158" spans="7:23" x14ac:dyDescent="0.3">
      <c r="G2158" s="69"/>
      <c r="H2158" s="69"/>
      <c r="I2158" s="69"/>
      <c r="J2158" s="69"/>
      <c r="K2158" s="69"/>
      <c r="L2158" s="69"/>
      <c r="M2158" s="69"/>
      <c r="N2158" s="69"/>
      <c r="O2158" s="69"/>
      <c r="P2158" s="69"/>
      <c r="Q2158" s="69"/>
      <c r="R2158" s="69"/>
      <c r="S2158" s="69"/>
      <c r="T2158" s="69"/>
      <c r="U2158" s="69"/>
      <c r="V2158" s="69"/>
      <c r="W2158" s="69"/>
    </row>
    <row r="2159" spans="7:23" x14ac:dyDescent="0.3">
      <c r="G2159" s="69"/>
      <c r="H2159" s="69"/>
      <c r="I2159" s="69"/>
      <c r="J2159" s="69"/>
      <c r="K2159" s="69"/>
      <c r="L2159" s="69"/>
      <c r="M2159" s="69"/>
      <c r="N2159" s="69"/>
      <c r="O2159" s="69"/>
      <c r="P2159" s="69"/>
      <c r="Q2159" s="69"/>
      <c r="R2159" s="69"/>
      <c r="S2159" s="69"/>
      <c r="T2159" s="69"/>
      <c r="U2159" s="69"/>
      <c r="V2159" s="69"/>
      <c r="W2159" s="69"/>
    </row>
    <row r="2160" spans="7:23" x14ac:dyDescent="0.3">
      <c r="G2160" s="69"/>
      <c r="H2160" s="69"/>
      <c r="I2160" s="69"/>
      <c r="J2160" s="69"/>
      <c r="K2160" s="69"/>
      <c r="L2160" s="69"/>
      <c r="M2160" s="69"/>
      <c r="N2160" s="69"/>
      <c r="O2160" s="69"/>
      <c r="P2160" s="69"/>
      <c r="Q2160" s="69"/>
      <c r="R2160" s="69"/>
      <c r="S2160" s="69"/>
      <c r="T2160" s="69"/>
      <c r="U2160" s="69"/>
      <c r="V2160" s="69"/>
      <c r="W2160" s="69"/>
    </row>
    <row r="2161" spans="7:23" x14ac:dyDescent="0.3">
      <c r="G2161" s="69"/>
      <c r="H2161" s="69"/>
      <c r="I2161" s="69"/>
      <c r="J2161" s="69"/>
      <c r="K2161" s="69"/>
      <c r="L2161" s="69"/>
      <c r="M2161" s="69"/>
      <c r="N2161" s="69"/>
      <c r="O2161" s="69"/>
      <c r="P2161" s="69"/>
      <c r="Q2161" s="69"/>
      <c r="R2161" s="69"/>
      <c r="S2161" s="69"/>
      <c r="T2161" s="69"/>
      <c r="U2161" s="69"/>
      <c r="V2161" s="69"/>
      <c r="W2161" s="69"/>
    </row>
    <row r="2162" spans="7:23" x14ac:dyDescent="0.3">
      <c r="G2162" s="69"/>
      <c r="H2162" s="69"/>
      <c r="I2162" s="69"/>
      <c r="J2162" s="69"/>
      <c r="K2162" s="69"/>
      <c r="L2162" s="69"/>
      <c r="M2162" s="69"/>
      <c r="N2162" s="69"/>
      <c r="O2162" s="69"/>
      <c r="P2162" s="69"/>
      <c r="Q2162" s="69"/>
      <c r="R2162" s="69"/>
      <c r="S2162" s="69"/>
      <c r="T2162" s="69"/>
      <c r="U2162" s="69"/>
      <c r="V2162" s="69"/>
      <c r="W2162" s="69"/>
    </row>
    <row r="2163" spans="7:23" x14ac:dyDescent="0.3">
      <c r="G2163" s="69"/>
      <c r="H2163" s="69"/>
      <c r="I2163" s="69"/>
      <c r="J2163" s="69"/>
      <c r="K2163" s="69"/>
      <c r="L2163" s="69"/>
      <c r="M2163" s="69"/>
      <c r="N2163" s="69"/>
      <c r="O2163" s="69"/>
      <c r="P2163" s="69"/>
      <c r="Q2163" s="69"/>
      <c r="R2163" s="69"/>
      <c r="S2163" s="69"/>
      <c r="T2163" s="69"/>
      <c r="U2163" s="69"/>
      <c r="V2163" s="69"/>
      <c r="W2163" s="69"/>
    </row>
    <row r="2164" spans="7:23" x14ac:dyDescent="0.3">
      <c r="G2164" s="69"/>
      <c r="H2164" s="69"/>
      <c r="I2164" s="69"/>
      <c r="J2164" s="69"/>
      <c r="K2164" s="69"/>
      <c r="L2164" s="69"/>
      <c r="M2164" s="69"/>
      <c r="N2164" s="69"/>
      <c r="O2164" s="69"/>
      <c r="P2164" s="69"/>
      <c r="Q2164" s="69"/>
      <c r="R2164" s="69"/>
      <c r="S2164" s="69"/>
      <c r="T2164" s="69"/>
      <c r="U2164" s="69"/>
      <c r="V2164" s="69"/>
      <c r="W2164" s="69"/>
    </row>
    <row r="2165" spans="7:23" x14ac:dyDescent="0.3">
      <c r="G2165" s="69"/>
      <c r="H2165" s="69"/>
      <c r="I2165" s="69"/>
      <c r="J2165" s="69"/>
      <c r="K2165" s="69"/>
      <c r="L2165" s="69"/>
      <c r="M2165" s="69"/>
      <c r="N2165" s="69"/>
      <c r="O2165" s="69"/>
      <c r="P2165" s="69"/>
      <c r="Q2165" s="69"/>
      <c r="R2165" s="69"/>
      <c r="S2165" s="69"/>
      <c r="T2165" s="69"/>
      <c r="U2165" s="69"/>
      <c r="V2165" s="69"/>
      <c r="W2165" s="69"/>
    </row>
    <row r="2166" spans="7:23" x14ac:dyDescent="0.3">
      <c r="G2166" s="69"/>
      <c r="H2166" s="69"/>
      <c r="I2166" s="69"/>
      <c r="J2166" s="69"/>
      <c r="K2166" s="69"/>
      <c r="L2166" s="69"/>
      <c r="M2166" s="69"/>
      <c r="N2166" s="69"/>
      <c r="O2166" s="69"/>
      <c r="P2166" s="69"/>
      <c r="Q2166" s="69"/>
      <c r="R2166" s="69"/>
      <c r="S2166" s="69"/>
      <c r="T2166" s="69"/>
      <c r="U2166" s="69"/>
      <c r="V2166" s="69"/>
      <c r="W2166" s="69"/>
    </row>
    <row r="2167" spans="7:23" x14ac:dyDescent="0.3">
      <c r="G2167" s="69"/>
      <c r="H2167" s="69"/>
      <c r="I2167" s="69"/>
      <c r="J2167" s="69"/>
      <c r="K2167" s="69"/>
      <c r="L2167" s="69"/>
      <c r="M2167" s="69"/>
      <c r="N2167" s="69"/>
      <c r="O2167" s="69"/>
      <c r="P2167" s="69"/>
      <c r="Q2167" s="69"/>
      <c r="R2167" s="69"/>
      <c r="S2167" s="69"/>
      <c r="T2167" s="69"/>
      <c r="U2167" s="69"/>
      <c r="V2167" s="69"/>
      <c r="W2167" s="69"/>
    </row>
    <row r="2168" spans="7:23" x14ac:dyDescent="0.3">
      <c r="G2168" s="69"/>
      <c r="H2168" s="69"/>
      <c r="I2168" s="69"/>
      <c r="J2168" s="69"/>
      <c r="K2168" s="69"/>
      <c r="L2168" s="69"/>
      <c r="M2168" s="69"/>
      <c r="N2168" s="69"/>
      <c r="O2168" s="69"/>
      <c r="P2168" s="69"/>
      <c r="Q2168" s="69"/>
      <c r="R2168" s="69"/>
      <c r="S2168" s="69"/>
      <c r="T2168" s="69"/>
      <c r="U2168" s="69"/>
      <c r="V2168" s="69"/>
      <c r="W2168" s="69"/>
    </row>
    <row r="2169" spans="7:23" x14ac:dyDescent="0.3">
      <c r="G2169" s="69"/>
      <c r="H2169" s="69"/>
      <c r="I2169" s="69"/>
      <c r="J2169" s="69"/>
      <c r="K2169" s="69"/>
      <c r="L2169" s="69"/>
      <c r="M2169" s="69"/>
      <c r="N2169" s="69"/>
      <c r="O2169" s="69"/>
      <c r="P2169" s="69"/>
      <c r="Q2169" s="69"/>
      <c r="R2169" s="69"/>
      <c r="S2169" s="69"/>
      <c r="T2169" s="69"/>
      <c r="U2169" s="69"/>
      <c r="V2169" s="69"/>
      <c r="W2169" s="69"/>
    </row>
    <row r="2170" spans="7:23" x14ac:dyDescent="0.3">
      <c r="G2170" s="69"/>
      <c r="H2170" s="69"/>
      <c r="I2170" s="69"/>
      <c r="J2170" s="69"/>
      <c r="K2170" s="69"/>
      <c r="L2170" s="69"/>
      <c r="M2170" s="69"/>
      <c r="N2170" s="69"/>
      <c r="O2170" s="69"/>
      <c r="P2170" s="69"/>
      <c r="Q2170" s="69"/>
      <c r="R2170" s="69"/>
      <c r="S2170" s="69"/>
      <c r="T2170" s="69"/>
      <c r="U2170" s="69"/>
      <c r="V2170" s="69"/>
      <c r="W2170" s="69"/>
    </row>
    <row r="2171" spans="7:23" x14ac:dyDescent="0.3">
      <c r="G2171" s="69"/>
      <c r="H2171" s="69"/>
      <c r="I2171" s="69"/>
      <c r="J2171" s="69"/>
      <c r="K2171" s="69"/>
      <c r="L2171" s="69"/>
      <c r="M2171" s="69"/>
      <c r="N2171" s="69"/>
      <c r="O2171" s="69"/>
      <c r="P2171" s="69"/>
      <c r="Q2171" s="69"/>
      <c r="R2171" s="69"/>
      <c r="S2171" s="69"/>
      <c r="T2171" s="69"/>
      <c r="U2171" s="69"/>
      <c r="V2171" s="69"/>
      <c r="W2171" s="69"/>
    </row>
    <row r="2172" spans="7:23" x14ac:dyDescent="0.3">
      <c r="G2172" s="69"/>
      <c r="H2172" s="69"/>
      <c r="I2172" s="69"/>
      <c r="J2172" s="69"/>
      <c r="K2172" s="69"/>
      <c r="L2172" s="69"/>
      <c r="M2172" s="69"/>
      <c r="N2172" s="69"/>
      <c r="O2172" s="69"/>
      <c r="P2172" s="69"/>
      <c r="Q2172" s="69"/>
      <c r="R2172" s="69"/>
      <c r="S2172" s="69"/>
      <c r="T2172" s="69"/>
      <c r="U2172" s="69"/>
      <c r="V2172" s="69"/>
      <c r="W2172" s="69"/>
    </row>
    <row r="2173" spans="7:23" x14ac:dyDescent="0.3">
      <c r="G2173" s="69"/>
      <c r="H2173" s="69"/>
      <c r="I2173" s="69"/>
      <c r="J2173" s="69"/>
      <c r="K2173" s="69"/>
      <c r="L2173" s="69"/>
      <c r="M2173" s="69"/>
      <c r="N2173" s="69"/>
      <c r="O2173" s="69"/>
      <c r="P2173" s="69"/>
      <c r="Q2173" s="69"/>
      <c r="R2173" s="69"/>
      <c r="S2173" s="69"/>
      <c r="T2173" s="69"/>
      <c r="U2173" s="69"/>
      <c r="V2173" s="69"/>
      <c r="W2173" s="69"/>
    </row>
    <row r="2174" spans="7:23" x14ac:dyDescent="0.3">
      <c r="G2174" s="69"/>
      <c r="H2174" s="69"/>
      <c r="I2174" s="69"/>
      <c r="J2174" s="69"/>
      <c r="K2174" s="69"/>
      <c r="L2174" s="69"/>
      <c r="M2174" s="69"/>
      <c r="N2174" s="69"/>
      <c r="O2174" s="69"/>
      <c r="P2174" s="69"/>
      <c r="Q2174" s="69"/>
      <c r="R2174" s="69"/>
      <c r="S2174" s="69"/>
      <c r="T2174" s="69"/>
      <c r="U2174" s="69"/>
      <c r="V2174" s="69"/>
      <c r="W2174" s="69"/>
    </row>
    <row r="2175" spans="7:23" x14ac:dyDescent="0.3">
      <c r="G2175" s="69"/>
      <c r="H2175" s="69"/>
      <c r="I2175" s="69"/>
      <c r="J2175" s="69"/>
      <c r="K2175" s="69"/>
      <c r="L2175" s="69"/>
      <c r="M2175" s="69"/>
      <c r="N2175" s="69"/>
      <c r="O2175" s="69"/>
      <c r="P2175" s="69"/>
      <c r="Q2175" s="69"/>
      <c r="R2175" s="69"/>
      <c r="S2175" s="69"/>
      <c r="T2175" s="69"/>
      <c r="U2175" s="69"/>
      <c r="V2175" s="69"/>
      <c r="W2175" s="69"/>
    </row>
    <row r="2176" spans="7:23" x14ac:dyDescent="0.3">
      <c r="G2176" s="69"/>
      <c r="H2176" s="69"/>
      <c r="I2176" s="69"/>
      <c r="J2176" s="69"/>
      <c r="K2176" s="69"/>
      <c r="L2176" s="69"/>
      <c r="M2176" s="69"/>
      <c r="N2176" s="69"/>
      <c r="O2176" s="69"/>
      <c r="P2176" s="69"/>
      <c r="Q2176" s="69"/>
      <c r="R2176" s="69"/>
      <c r="S2176" s="69"/>
      <c r="T2176" s="69"/>
      <c r="U2176" s="69"/>
      <c r="V2176" s="69"/>
      <c r="W2176" s="69"/>
    </row>
    <row r="2177" spans="1:23" x14ac:dyDescent="0.3">
      <c r="G2177" s="69"/>
      <c r="H2177" s="69"/>
      <c r="I2177" s="69"/>
      <c r="J2177" s="69"/>
      <c r="K2177" s="69"/>
      <c r="L2177" s="69"/>
      <c r="M2177" s="69"/>
      <c r="N2177" s="69"/>
      <c r="O2177" s="69"/>
      <c r="P2177" s="69"/>
      <c r="Q2177" s="69"/>
      <c r="R2177" s="69"/>
      <c r="S2177" s="69"/>
      <c r="T2177" s="69"/>
      <c r="U2177" s="69"/>
      <c r="V2177" s="69"/>
      <c r="W2177" s="69"/>
    </row>
    <row r="2178" spans="1:23" x14ac:dyDescent="0.3">
      <c r="G2178" s="69"/>
      <c r="H2178" s="69"/>
      <c r="I2178" s="69"/>
      <c r="J2178" s="69"/>
      <c r="K2178" s="69"/>
      <c r="L2178" s="69"/>
      <c r="M2178" s="69"/>
      <c r="N2178" s="69"/>
      <c r="O2178" s="69"/>
      <c r="P2178" s="69"/>
      <c r="Q2178" s="69"/>
      <c r="R2178" s="69"/>
      <c r="S2178" s="69"/>
      <c r="T2178" s="69"/>
      <c r="U2178" s="69"/>
      <c r="V2178" s="69"/>
      <c r="W2178" s="69"/>
    </row>
    <row r="2179" spans="1:23" x14ac:dyDescent="0.3">
      <c r="G2179" s="69"/>
      <c r="H2179" s="69"/>
      <c r="I2179" s="69"/>
      <c r="J2179" s="69"/>
      <c r="K2179" s="69"/>
      <c r="L2179" s="69"/>
      <c r="M2179" s="69"/>
      <c r="N2179" s="69"/>
      <c r="O2179" s="69"/>
      <c r="P2179" s="69"/>
      <c r="Q2179" s="69"/>
      <c r="R2179" s="69"/>
      <c r="S2179" s="69"/>
      <c r="T2179" s="69"/>
      <c r="U2179" s="69"/>
      <c r="V2179" s="69"/>
      <c r="W2179" s="69"/>
    </row>
    <row r="2180" spans="1:23" ht="21" x14ac:dyDescent="0.4">
      <c r="A2180" s="48"/>
      <c r="G2180" s="69"/>
      <c r="H2180" s="69"/>
      <c r="I2180" s="69"/>
      <c r="J2180" s="69"/>
      <c r="K2180" s="69"/>
      <c r="L2180" s="69"/>
      <c r="M2180" s="69"/>
      <c r="N2180" s="69"/>
      <c r="O2180" s="69"/>
      <c r="P2180" s="69"/>
      <c r="Q2180" s="69"/>
      <c r="R2180" s="69"/>
      <c r="S2180" s="69"/>
      <c r="T2180" s="69"/>
      <c r="U2180" s="69"/>
      <c r="V2180" s="69"/>
      <c r="W2180" s="69"/>
    </row>
    <row r="2181" spans="1:23" x14ac:dyDescent="0.3">
      <c r="G2181" s="69"/>
      <c r="H2181" s="69"/>
      <c r="I2181" s="69"/>
      <c r="J2181" s="69"/>
      <c r="K2181" s="69"/>
      <c r="L2181" s="69"/>
      <c r="M2181" s="69"/>
      <c r="N2181" s="69"/>
      <c r="O2181" s="69"/>
      <c r="P2181" s="69"/>
      <c r="Q2181" s="69"/>
      <c r="R2181" s="69"/>
      <c r="S2181" s="69"/>
      <c r="T2181" s="69"/>
      <c r="U2181" s="69"/>
      <c r="V2181" s="69"/>
      <c r="W2181" s="69"/>
    </row>
    <row r="2182" spans="1:23" x14ac:dyDescent="0.3">
      <c r="G2182" s="69"/>
      <c r="H2182" s="69"/>
      <c r="I2182" s="69"/>
      <c r="J2182" s="69"/>
      <c r="K2182" s="69"/>
      <c r="L2182" s="69"/>
      <c r="M2182" s="69"/>
      <c r="N2182" s="69"/>
      <c r="O2182" s="69"/>
      <c r="P2182" s="69"/>
      <c r="Q2182" s="69"/>
      <c r="R2182" s="69"/>
      <c r="S2182" s="69"/>
      <c r="T2182" s="69"/>
      <c r="U2182" s="69"/>
      <c r="V2182" s="69"/>
      <c r="W2182" s="69"/>
    </row>
    <row r="2183" spans="1:23" x14ac:dyDescent="0.3">
      <c r="G2183" s="69"/>
      <c r="H2183" s="69"/>
      <c r="I2183" s="69"/>
      <c r="J2183" s="69"/>
      <c r="K2183" s="69"/>
      <c r="L2183" s="69"/>
      <c r="M2183" s="69"/>
      <c r="N2183" s="69"/>
      <c r="O2183" s="69"/>
      <c r="P2183" s="69"/>
      <c r="Q2183" s="69"/>
      <c r="R2183" s="69"/>
      <c r="S2183" s="69"/>
      <c r="T2183" s="69"/>
      <c r="U2183" s="69"/>
      <c r="V2183" s="69"/>
      <c r="W2183" s="69"/>
    </row>
    <row r="2184" spans="1:23" x14ac:dyDescent="0.3">
      <c r="G2184" s="69"/>
      <c r="H2184" s="69"/>
      <c r="I2184" s="69"/>
      <c r="J2184" s="69"/>
      <c r="K2184" s="69"/>
      <c r="L2184" s="69"/>
      <c r="M2184" s="69"/>
      <c r="N2184" s="69"/>
      <c r="O2184" s="69"/>
      <c r="P2184" s="69"/>
      <c r="Q2184" s="69"/>
      <c r="R2184" s="69"/>
      <c r="S2184" s="69"/>
      <c r="T2184" s="69"/>
      <c r="U2184" s="69"/>
      <c r="V2184" s="69"/>
      <c r="W2184" s="69"/>
    </row>
    <row r="2185" spans="1:23" x14ac:dyDescent="0.3">
      <c r="G2185" s="69"/>
      <c r="H2185" s="69"/>
      <c r="I2185" s="69"/>
      <c r="J2185" s="69"/>
      <c r="K2185" s="69"/>
      <c r="L2185" s="69"/>
      <c r="M2185" s="69"/>
      <c r="N2185" s="69"/>
      <c r="O2185" s="69"/>
      <c r="P2185" s="69"/>
      <c r="Q2185" s="69"/>
      <c r="R2185" s="69"/>
      <c r="S2185" s="69"/>
      <c r="T2185" s="69"/>
      <c r="U2185" s="69"/>
      <c r="V2185" s="69"/>
      <c r="W2185" s="69"/>
    </row>
    <row r="2186" spans="1:23" x14ac:dyDescent="0.3">
      <c r="G2186" s="69"/>
      <c r="H2186" s="69"/>
      <c r="I2186" s="69"/>
      <c r="J2186" s="69"/>
      <c r="K2186" s="69"/>
      <c r="L2186" s="69"/>
      <c r="M2186" s="69"/>
      <c r="N2186" s="69"/>
      <c r="O2186" s="69"/>
      <c r="P2186" s="69"/>
      <c r="Q2186" s="69"/>
      <c r="R2186" s="69"/>
      <c r="S2186" s="69"/>
      <c r="T2186" s="69"/>
      <c r="U2186" s="69"/>
      <c r="V2186" s="69"/>
      <c r="W2186" s="69"/>
    </row>
    <row r="2187" spans="1:23" x14ac:dyDescent="0.3">
      <c r="G2187" s="69"/>
      <c r="H2187" s="69"/>
      <c r="I2187" s="69"/>
      <c r="J2187" s="69"/>
      <c r="K2187" s="69"/>
      <c r="L2187" s="69"/>
      <c r="M2187" s="69"/>
      <c r="N2187" s="69"/>
      <c r="O2187" s="69"/>
      <c r="P2187" s="69"/>
      <c r="Q2187" s="69"/>
      <c r="R2187" s="69"/>
      <c r="S2187" s="69"/>
      <c r="T2187" s="69"/>
      <c r="U2187" s="69"/>
      <c r="V2187" s="69"/>
      <c r="W2187" s="69"/>
    </row>
    <row r="2188" spans="1:23" x14ac:dyDescent="0.3">
      <c r="G2188" s="69"/>
      <c r="H2188" s="69"/>
      <c r="I2188" s="69"/>
      <c r="J2188" s="69"/>
      <c r="K2188" s="69"/>
      <c r="L2188" s="69"/>
      <c r="M2188" s="69"/>
      <c r="N2188" s="69"/>
      <c r="O2188" s="69"/>
      <c r="P2188" s="69"/>
      <c r="Q2188" s="69"/>
      <c r="R2188" s="69"/>
      <c r="S2188" s="69"/>
      <c r="T2188" s="69"/>
      <c r="U2188" s="69"/>
      <c r="V2188" s="69"/>
      <c r="W2188" s="69"/>
    </row>
    <row r="2189" spans="1:23" x14ac:dyDescent="0.3">
      <c r="G2189" s="69"/>
      <c r="H2189" s="69"/>
      <c r="I2189" s="69"/>
      <c r="J2189" s="69"/>
      <c r="K2189" s="69"/>
      <c r="L2189" s="69"/>
      <c r="M2189" s="69"/>
      <c r="N2189" s="69"/>
      <c r="O2189" s="69"/>
      <c r="P2189" s="69"/>
      <c r="Q2189" s="69"/>
      <c r="R2189" s="69"/>
      <c r="S2189" s="69"/>
      <c r="T2189" s="69"/>
      <c r="U2189" s="69"/>
      <c r="V2189" s="69"/>
      <c r="W2189" s="69"/>
    </row>
    <row r="2190" spans="1:23" x14ac:dyDescent="0.3">
      <c r="G2190" s="69"/>
      <c r="H2190" s="69"/>
      <c r="I2190" s="69"/>
      <c r="J2190" s="69"/>
      <c r="K2190" s="69"/>
      <c r="L2190" s="69"/>
      <c r="M2190" s="69"/>
      <c r="N2190" s="69"/>
      <c r="O2190" s="69"/>
      <c r="P2190" s="69"/>
      <c r="Q2190" s="69"/>
      <c r="R2190" s="69"/>
      <c r="S2190" s="69"/>
      <c r="T2190" s="69"/>
      <c r="U2190" s="69"/>
      <c r="V2190" s="69"/>
      <c r="W2190" s="69"/>
    </row>
    <row r="2191" spans="1:23" x14ac:dyDescent="0.3">
      <c r="G2191" s="69"/>
      <c r="H2191" s="69"/>
      <c r="I2191" s="69"/>
      <c r="J2191" s="69"/>
      <c r="K2191" s="69"/>
      <c r="L2191" s="69"/>
      <c r="M2191" s="69"/>
      <c r="N2191" s="69"/>
      <c r="O2191" s="69"/>
      <c r="P2191" s="69"/>
      <c r="Q2191" s="69"/>
      <c r="R2191" s="69"/>
      <c r="S2191" s="69"/>
      <c r="T2191" s="69"/>
      <c r="U2191" s="69"/>
      <c r="V2191" s="69"/>
      <c r="W2191" s="69"/>
    </row>
    <row r="2192" spans="1:23" x14ac:dyDescent="0.3">
      <c r="G2192" s="69"/>
      <c r="H2192" s="69"/>
      <c r="I2192" s="69"/>
      <c r="J2192" s="69"/>
      <c r="K2192" s="69"/>
      <c r="L2192" s="69"/>
      <c r="M2192" s="69"/>
      <c r="N2192" s="69"/>
      <c r="O2192" s="69"/>
      <c r="P2192" s="69"/>
      <c r="Q2192" s="69"/>
      <c r="R2192" s="69"/>
      <c r="S2192" s="69"/>
      <c r="T2192" s="69"/>
      <c r="U2192" s="69"/>
      <c r="V2192" s="69"/>
      <c r="W2192" s="69"/>
    </row>
    <row r="2193" spans="7:23" x14ac:dyDescent="0.3">
      <c r="G2193" s="69"/>
      <c r="H2193" s="69"/>
      <c r="I2193" s="69"/>
      <c r="J2193" s="69"/>
      <c r="K2193" s="69"/>
      <c r="L2193" s="69"/>
      <c r="M2193" s="69"/>
      <c r="N2193" s="69"/>
      <c r="O2193" s="69"/>
      <c r="P2193" s="69"/>
      <c r="Q2193" s="69"/>
      <c r="R2193" s="69"/>
      <c r="S2193" s="69"/>
      <c r="T2193" s="69"/>
      <c r="U2193" s="69"/>
      <c r="V2193" s="69"/>
      <c r="W2193" s="69"/>
    </row>
    <row r="2194" spans="7:23" x14ac:dyDescent="0.3">
      <c r="G2194" s="69"/>
      <c r="H2194" s="69"/>
      <c r="I2194" s="69"/>
      <c r="J2194" s="69"/>
      <c r="K2194" s="69"/>
      <c r="L2194" s="69"/>
      <c r="M2194" s="69"/>
      <c r="N2194" s="69"/>
      <c r="O2194" s="69"/>
      <c r="P2194" s="69"/>
      <c r="Q2194" s="69"/>
      <c r="R2194" s="69"/>
      <c r="S2194" s="69"/>
      <c r="T2194" s="69"/>
      <c r="U2194" s="69"/>
      <c r="V2194" s="69"/>
      <c r="W2194" s="69"/>
    </row>
    <row r="2195" spans="7:23" x14ac:dyDescent="0.3">
      <c r="G2195" s="69"/>
      <c r="H2195" s="69"/>
      <c r="I2195" s="69"/>
      <c r="J2195" s="69"/>
      <c r="K2195" s="69"/>
      <c r="L2195" s="69"/>
      <c r="M2195" s="69"/>
      <c r="N2195" s="69"/>
      <c r="O2195" s="69"/>
      <c r="P2195" s="69"/>
      <c r="Q2195" s="69"/>
      <c r="R2195" s="69"/>
      <c r="S2195" s="69"/>
      <c r="T2195" s="69"/>
      <c r="U2195" s="69"/>
      <c r="V2195" s="69"/>
      <c r="W2195" s="69"/>
    </row>
    <row r="2196" spans="7:23" x14ac:dyDescent="0.3">
      <c r="G2196" s="69"/>
      <c r="H2196" s="69"/>
      <c r="I2196" s="69"/>
      <c r="J2196" s="69"/>
      <c r="K2196" s="69"/>
      <c r="L2196" s="69"/>
      <c r="M2196" s="69"/>
      <c r="N2196" s="69"/>
      <c r="O2196" s="69"/>
      <c r="P2196" s="69"/>
      <c r="Q2196" s="69"/>
      <c r="R2196" s="69"/>
      <c r="S2196" s="69"/>
      <c r="T2196" s="69"/>
      <c r="U2196" s="69"/>
      <c r="V2196" s="69"/>
      <c r="W2196" s="69"/>
    </row>
    <row r="2197" spans="7:23" x14ac:dyDescent="0.3">
      <c r="G2197" s="69"/>
      <c r="H2197" s="69"/>
      <c r="I2197" s="69"/>
      <c r="J2197" s="69"/>
      <c r="K2197" s="69"/>
      <c r="L2197" s="69"/>
      <c r="M2197" s="69"/>
      <c r="N2197" s="69"/>
      <c r="O2197" s="69"/>
      <c r="P2197" s="69"/>
      <c r="Q2197" s="69"/>
      <c r="R2197" s="69"/>
      <c r="S2197" s="69"/>
      <c r="T2197" s="69"/>
      <c r="U2197" s="69"/>
      <c r="V2197" s="69"/>
      <c r="W2197" s="69"/>
    </row>
    <row r="2198" spans="7:23" x14ac:dyDescent="0.3">
      <c r="G2198" s="69"/>
      <c r="H2198" s="69"/>
      <c r="I2198" s="69"/>
      <c r="J2198" s="69"/>
      <c r="K2198" s="69"/>
      <c r="L2198" s="69"/>
      <c r="M2198" s="69"/>
      <c r="N2198" s="69"/>
      <c r="O2198" s="69"/>
      <c r="P2198" s="69"/>
      <c r="Q2198" s="69"/>
      <c r="R2198" s="69"/>
      <c r="S2198" s="69"/>
      <c r="T2198" s="69"/>
      <c r="U2198" s="69"/>
      <c r="V2198" s="69"/>
      <c r="W2198" s="69"/>
    </row>
    <row r="2199" spans="7:23" x14ac:dyDescent="0.3">
      <c r="G2199" s="69"/>
      <c r="H2199" s="69"/>
      <c r="I2199" s="69"/>
      <c r="J2199" s="69"/>
      <c r="K2199" s="69"/>
      <c r="L2199" s="69"/>
      <c r="M2199" s="69"/>
      <c r="N2199" s="69"/>
      <c r="O2199" s="69"/>
      <c r="P2199" s="69"/>
      <c r="Q2199" s="69"/>
      <c r="R2199" s="69"/>
      <c r="S2199" s="69"/>
      <c r="T2199" s="69"/>
      <c r="U2199" s="69"/>
      <c r="V2199" s="69"/>
      <c r="W2199" s="69"/>
    </row>
    <row r="2200" spans="7:23" x14ac:dyDescent="0.3">
      <c r="G2200" s="69"/>
      <c r="H2200" s="69"/>
      <c r="I2200" s="69"/>
      <c r="J2200" s="69"/>
      <c r="K2200" s="69"/>
      <c r="L2200" s="69"/>
      <c r="M2200" s="69"/>
      <c r="N2200" s="69"/>
      <c r="O2200" s="69"/>
      <c r="P2200" s="69"/>
      <c r="Q2200" s="69"/>
      <c r="R2200" s="69"/>
      <c r="S2200" s="69"/>
      <c r="T2200" s="69"/>
      <c r="U2200" s="69"/>
      <c r="V2200" s="69"/>
      <c r="W2200" s="69"/>
    </row>
    <row r="2201" spans="7:23" x14ac:dyDescent="0.3">
      <c r="G2201" s="69"/>
      <c r="H2201" s="69"/>
      <c r="I2201" s="69"/>
      <c r="J2201" s="69"/>
      <c r="K2201" s="69"/>
      <c r="L2201" s="69"/>
      <c r="M2201" s="69"/>
      <c r="N2201" s="69"/>
      <c r="O2201" s="69"/>
      <c r="P2201" s="69"/>
      <c r="Q2201" s="69"/>
      <c r="R2201" s="69"/>
      <c r="S2201" s="69"/>
      <c r="T2201" s="69"/>
      <c r="U2201" s="69"/>
      <c r="V2201" s="69"/>
      <c r="W2201" s="69"/>
    </row>
    <row r="2202" spans="7:23" x14ac:dyDescent="0.3">
      <c r="G2202" s="69"/>
      <c r="H2202" s="69"/>
      <c r="I2202" s="69"/>
      <c r="J2202" s="69"/>
      <c r="K2202" s="69"/>
      <c r="L2202" s="69"/>
      <c r="M2202" s="69"/>
      <c r="N2202" s="69"/>
      <c r="O2202" s="69"/>
      <c r="P2202" s="69"/>
      <c r="Q2202" s="69"/>
      <c r="R2202" s="69"/>
      <c r="S2202" s="69"/>
      <c r="T2202" s="69"/>
      <c r="U2202" s="69"/>
      <c r="V2202" s="69"/>
      <c r="W2202" s="69"/>
    </row>
    <row r="2203" spans="7:23" x14ac:dyDescent="0.3">
      <c r="G2203" s="69"/>
      <c r="H2203" s="69"/>
      <c r="I2203" s="69"/>
      <c r="J2203" s="69"/>
      <c r="K2203" s="69"/>
      <c r="L2203" s="69"/>
      <c r="M2203" s="69"/>
      <c r="N2203" s="69"/>
      <c r="O2203" s="69"/>
      <c r="P2203" s="69"/>
      <c r="Q2203" s="69"/>
      <c r="R2203" s="69"/>
      <c r="S2203" s="69"/>
      <c r="T2203" s="69"/>
      <c r="U2203" s="69"/>
      <c r="V2203" s="69"/>
      <c r="W2203" s="69"/>
    </row>
    <row r="2204" spans="7:23" x14ac:dyDescent="0.3">
      <c r="G2204" s="69"/>
      <c r="H2204" s="69"/>
      <c r="I2204" s="69"/>
      <c r="J2204" s="69"/>
      <c r="K2204" s="69"/>
      <c r="L2204" s="69"/>
      <c r="M2204" s="69"/>
      <c r="N2204" s="69"/>
      <c r="O2204" s="69"/>
      <c r="P2204" s="69"/>
      <c r="Q2204" s="69"/>
      <c r="R2204" s="69"/>
      <c r="S2204" s="69"/>
      <c r="T2204" s="69"/>
      <c r="U2204" s="69"/>
      <c r="V2204" s="69"/>
      <c r="W2204" s="69"/>
    </row>
    <row r="2205" spans="7:23" x14ac:dyDescent="0.3">
      <c r="G2205" s="69"/>
      <c r="H2205" s="69"/>
      <c r="I2205" s="69"/>
      <c r="J2205" s="69"/>
      <c r="K2205" s="69"/>
      <c r="L2205" s="69"/>
      <c r="M2205" s="69"/>
      <c r="N2205" s="69"/>
      <c r="O2205" s="69"/>
      <c r="P2205" s="69"/>
      <c r="Q2205" s="69"/>
      <c r="R2205" s="69"/>
      <c r="S2205" s="69"/>
      <c r="T2205" s="69"/>
      <c r="U2205" s="69"/>
      <c r="V2205" s="69"/>
      <c r="W2205" s="69"/>
    </row>
    <row r="2206" spans="7:23" x14ac:dyDescent="0.3">
      <c r="G2206" s="69"/>
      <c r="H2206" s="69"/>
      <c r="I2206" s="69"/>
      <c r="J2206" s="69"/>
      <c r="K2206" s="69"/>
      <c r="L2206" s="69"/>
      <c r="M2206" s="69"/>
      <c r="N2206" s="69"/>
      <c r="O2206" s="69"/>
      <c r="P2206" s="69"/>
      <c r="Q2206" s="69"/>
      <c r="R2206" s="69"/>
      <c r="S2206" s="69"/>
      <c r="T2206" s="69"/>
      <c r="U2206" s="69"/>
      <c r="V2206" s="69"/>
      <c r="W2206" s="69"/>
    </row>
    <row r="2207" spans="7:23" x14ac:dyDescent="0.3">
      <c r="G2207" s="69"/>
      <c r="H2207" s="69"/>
      <c r="I2207" s="69"/>
      <c r="J2207" s="69"/>
      <c r="K2207" s="69"/>
      <c r="L2207" s="69"/>
      <c r="M2207" s="69"/>
      <c r="N2207" s="69"/>
      <c r="O2207" s="69"/>
      <c r="P2207" s="69"/>
      <c r="Q2207" s="69"/>
      <c r="R2207" s="69"/>
      <c r="S2207" s="69"/>
      <c r="T2207" s="69"/>
      <c r="U2207" s="69"/>
      <c r="V2207" s="69"/>
      <c r="W2207" s="69"/>
    </row>
    <row r="2208" spans="7:23" x14ac:dyDescent="0.3">
      <c r="G2208" s="69"/>
      <c r="H2208" s="69"/>
      <c r="I2208" s="69"/>
      <c r="J2208" s="69"/>
      <c r="K2208" s="69"/>
      <c r="L2208" s="69"/>
      <c r="M2208" s="69"/>
      <c r="N2208" s="69"/>
      <c r="O2208" s="69"/>
      <c r="P2208" s="69"/>
      <c r="Q2208" s="69"/>
      <c r="R2208" s="69"/>
      <c r="S2208" s="69"/>
      <c r="T2208" s="69"/>
      <c r="U2208" s="69"/>
      <c r="V2208" s="69"/>
      <c r="W2208" s="69"/>
    </row>
    <row r="2209" spans="7:23" x14ac:dyDescent="0.3">
      <c r="G2209" s="69"/>
      <c r="H2209" s="69"/>
      <c r="I2209" s="69"/>
      <c r="J2209" s="69"/>
      <c r="K2209" s="69"/>
      <c r="L2209" s="69"/>
      <c r="M2209" s="69"/>
      <c r="N2209" s="69"/>
      <c r="O2209" s="69"/>
      <c r="P2209" s="69"/>
      <c r="Q2209" s="69"/>
      <c r="R2209" s="69"/>
      <c r="S2209" s="69"/>
      <c r="T2209" s="69"/>
      <c r="U2209" s="69"/>
      <c r="V2209" s="69"/>
      <c r="W2209" s="69"/>
    </row>
    <row r="2210" spans="7:23" x14ac:dyDescent="0.3">
      <c r="G2210" s="69"/>
      <c r="H2210" s="69"/>
      <c r="I2210" s="69"/>
      <c r="J2210" s="69"/>
      <c r="K2210" s="69"/>
      <c r="L2210" s="69"/>
      <c r="M2210" s="69"/>
      <c r="N2210" s="69"/>
      <c r="O2210" s="69"/>
      <c r="P2210" s="69"/>
      <c r="Q2210" s="69"/>
      <c r="R2210" s="69"/>
      <c r="S2210" s="69"/>
      <c r="T2210" s="69"/>
      <c r="U2210" s="69"/>
      <c r="V2210" s="69"/>
      <c r="W2210" s="69"/>
    </row>
    <row r="2211" spans="7:23" x14ac:dyDescent="0.3">
      <c r="G2211" s="69"/>
      <c r="H2211" s="69"/>
      <c r="I2211" s="69"/>
      <c r="J2211" s="69"/>
      <c r="K2211" s="69"/>
      <c r="L2211" s="69"/>
      <c r="M2211" s="69"/>
      <c r="N2211" s="69"/>
      <c r="O2211" s="69"/>
      <c r="P2211" s="69"/>
      <c r="Q2211" s="69"/>
      <c r="R2211" s="69"/>
      <c r="S2211" s="69"/>
      <c r="T2211" s="69"/>
      <c r="U2211" s="69"/>
      <c r="V2211" s="69"/>
      <c r="W2211" s="69"/>
    </row>
    <row r="2212" spans="7:23" x14ac:dyDescent="0.3">
      <c r="G2212" s="69"/>
      <c r="H2212" s="69"/>
      <c r="I2212" s="69"/>
      <c r="J2212" s="69"/>
      <c r="K2212" s="69"/>
      <c r="L2212" s="69"/>
      <c r="M2212" s="69"/>
      <c r="N2212" s="69"/>
      <c r="O2212" s="69"/>
      <c r="P2212" s="69"/>
      <c r="Q2212" s="69"/>
      <c r="R2212" s="69"/>
      <c r="S2212" s="69"/>
      <c r="T2212" s="69"/>
      <c r="U2212" s="69"/>
      <c r="V2212" s="69"/>
      <c r="W2212" s="69"/>
    </row>
    <row r="2213" spans="7:23" x14ac:dyDescent="0.3">
      <c r="G2213" s="69"/>
      <c r="H2213" s="69"/>
      <c r="I2213" s="69"/>
      <c r="J2213" s="69"/>
      <c r="K2213" s="69"/>
      <c r="L2213" s="69"/>
      <c r="M2213" s="69"/>
      <c r="N2213" s="69"/>
      <c r="O2213" s="69"/>
      <c r="P2213" s="69"/>
      <c r="Q2213" s="69"/>
      <c r="R2213" s="69"/>
      <c r="S2213" s="69"/>
      <c r="T2213" s="69"/>
      <c r="U2213" s="69"/>
      <c r="V2213" s="69"/>
      <c r="W2213" s="69"/>
    </row>
    <row r="2214" spans="7:23" x14ac:dyDescent="0.3">
      <c r="G2214" s="69"/>
      <c r="H2214" s="69"/>
      <c r="I2214" s="69"/>
      <c r="J2214" s="69"/>
      <c r="K2214" s="69"/>
      <c r="L2214" s="69"/>
      <c r="M2214" s="69"/>
      <c r="N2214" s="69"/>
      <c r="O2214" s="69"/>
      <c r="P2214" s="69"/>
      <c r="Q2214" s="69"/>
      <c r="R2214" s="69"/>
      <c r="S2214" s="69"/>
      <c r="T2214" s="69"/>
      <c r="U2214" s="69"/>
      <c r="V2214" s="69"/>
      <c r="W2214" s="69"/>
    </row>
    <row r="2215" spans="7:23" x14ac:dyDescent="0.3">
      <c r="G2215" s="69"/>
      <c r="H2215" s="69"/>
      <c r="I2215" s="69"/>
      <c r="J2215" s="69"/>
      <c r="K2215" s="69"/>
      <c r="L2215" s="69"/>
      <c r="M2215" s="69"/>
      <c r="N2215" s="69"/>
      <c r="O2215" s="69"/>
      <c r="P2215" s="69"/>
      <c r="Q2215" s="69"/>
      <c r="R2215" s="69"/>
      <c r="S2215" s="69"/>
      <c r="T2215" s="69"/>
      <c r="U2215" s="69"/>
      <c r="V2215" s="69"/>
      <c r="W2215" s="69"/>
    </row>
    <row r="2216" spans="7:23" x14ac:dyDescent="0.3">
      <c r="G2216" s="69"/>
      <c r="H2216" s="69"/>
      <c r="I2216" s="69"/>
      <c r="J2216" s="69"/>
      <c r="K2216" s="69"/>
      <c r="L2216" s="69"/>
      <c r="M2216" s="69"/>
      <c r="N2216" s="69"/>
      <c r="O2216" s="69"/>
      <c r="P2216" s="69"/>
      <c r="Q2216" s="69"/>
      <c r="R2216" s="69"/>
      <c r="S2216" s="69"/>
      <c r="T2216" s="69"/>
      <c r="U2216" s="69"/>
      <c r="V2216" s="69"/>
      <c r="W2216" s="69"/>
    </row>
    <row r="2217" spans="7:23" x14ac:dyDescent="0.3">
      <c r="G2217" s="69"/>
      <c r="H2217" s="69"/>
      <c r="I2217" s="69"/>
      <c r="J2217" s="69"/>
      <c r="K2217" s="69"/>
      <c r="L2217" s="69"/>
      <c r="M2217" s="69"/>
      <c r="N2217" s="69"/>
      <c r="O2217" s="69"/>
      <c r="P2217" s="69"/>
      <c r="Q2217" s="69"/>
      <c r="R2217" s="69"/>
      <c r="S2217" s="69"/>
      <c r="T2217" s="69"/>
      <c r="U2217" s="69"/>
      <c r="V2217" s="69"/>
      <c r="W2217" s="69"/>
    </row>
    <row r="2218" spans="7:23" x14ac:dyDescent="0.3">
      <c r="G2218" s="69"/>
      <c r="H2218" s="69"/>
      <c r="I2218" s="69"/>
      <c r="J2218" s="69"/>
      <c r="K2218" s="69"/>
      <c r="L2218" s="69"/>
      <c r="M2218" s="69"/>
      <c r="N2218" s="69"/>
      <c r="O2218" s="69"/>
      <c r="P2218" s="69"/>
      <c r="Q2218" s="69"/>
      <c r="R2218" s="69"/>
      <c r="S2218" s="69"/>
      <c r="T2218" s="69"/>
      <c r="U2218" s="69"/>
      <c r="V2218" s="69"/>
      <c r="W2218" s="69"/>
    </row>
    <row r="2219" spans="7:23" x14ac:dyDescent="0.3">
      <c r="G2219" s="69"/>
      <c r="H2219" s="69"/>
      <c r="I2219" s="69"/>
      <c r="J2219" s="69"/>
      <c r="K2219" s="69"/>
      <c r="L2219" s="69"/>
      <c r="M2219" s="69"/>
      <c r="N2219" s="69"/>
      <c r="O2219" s="69"/>
      <c r="P2219" s="69"/>
      <c r="Q2219" s="69"/>
      <c r="R2219" s="69"/>
      <c r="S2219" s="69"/>
      <c r="T2219" s="69"/>
      <c r="U2219" s="69"/>
      <c r="V2219" s="69"/>
      <c r="W2219" s="69"/>
    </row>
    <row r="2220" spans="7:23" x14ac:dyDescent="0.3">
      <c r="G2220" s="69"/>
      <c r="H2220" s="69"/>
      <c r="I2220" s="69"/>
      <c r="J2220" s="69"/>
      <c r="K2220" s="69"/>
      <c r="L2220" s="69"/>
      <c r="M2220" s="69"/>
      <c r="N2220" s="69"/>
      <c r="O2220" s="69"/>
      <c r="P2220" s="69"/>
      <c r="Q2220" s="69"/>
      <c r="R2220" s="69"/>
      <c r="S2220" s="69"/>
      <c r="T2220" s="69"/>
      <c r="U2220" s="69"/>
      <c r="V2220" s="69"/>
      <c r="W2220" s="69"/>
    </row>
    <row r="2221" spans="7:23" x14ac:dyDescent="0.3">
      <c r="G2221" s="69"/>
      <c r="H2221" s="69"/>
      <c r="I2221" s="69"/>
      <c r="J2221" s="69"/>
      <c r="K2221" s="69"/>
      <c r="L2221" s="69"/>
      <c r="M2221" s="69"/>
      <c r="N2221" s="69"/>
      <c r="O2221" s="69"/>
      <c r="P2221" s="69"/>
      <c r="Q2221" s="69"/>
      <c r="R2221" s="69"/>
      <c r="S2221" s="69"/>
      <c r="T2221" s="69"/>
      <c r="U2221" s="69"/>
      <c r="V2221" s="69"/>
      <c r="W2221" s="69"/>
    </row>
    <row r="2222" spans="7:23" x14ac:dyDescent="0.3">
      <c r="G2222" s="69"/>
      <c r="H2222" s="69"/>
      <c r="I2222" s="69"/>
      <c r="J2222" s="69"/>
      <c r="K2222" s="69"/>
      <c r="L2222" s="69"/>
      <c r="M2222" s="69"/>
      <c r="N2222" s="69"/>
      <c r="O2222" s="69"/>
      <c r="P2222" s="69"/>
      <c r="Q2222" s="69"/>
      <c r="R2222" s="69"/>
      <c r="S2222" s="69"/>
      <c r="T2222" s="69"/>
      <c r="U2222" s="69"/>
      <c r="V2222" s="69"/>
      <c r="W2222" s="69"/>
    </row>
    <row r="2223" spans="7:23" x14ac:dyDescent="0.3">
      <c r="G2223" s="69"/>
      <c r="H2223" s="69"/>
      <c r="I2223" s="69"/>
      <c r="J2223" s="69"/>
      <c r="K2223" s="69"/>
      <c r="L2223" s="69"/>
      <c r="M2223" s="69"/>
      <c r="N2223" s="69"/>
      <c r="O2223" s="69"/>
      <c r="P2223" s="69"/>
      <c r="Q2223" s="69"/>
      <c r="R2223" s="69"/>
      <c r="S2223" s="69"/>
      <c r="T2223" s="69"/>
      <c r="U2223" s="69"/>
      <c r="V2223" s="69"/>
      <c r="W2223" s="69"/>
    </row>
    <row r="2224" spans="7:23" x14ac:dyDescent="0.3">
      <c r="G2224" s="69"/>
      <c r="H2224" s="69"/>
      <c r="I2224" s="69"/>
      <c r="J2224" s="69"/>
      <c r="K2224" s="69"/>
      <c r="L2224" s="69"/>
      <c r="M2224" s="69"/>
      <c r="N2224" s="69"/>
      <c r="O2224" s="69"/>
      <c r="P2224" s="69"/>
      <c r="Q2224" s="69"/>
      <c r="R2224" s="69"/>
      <c r="S2224" s="69"/>
      <c r="T2224" s="69"/>
      <c r="U2224" s="69"/>
      <c r="V2224" s="69"/>
      <c r="W2224" s="69"/>
    </row>
    <row r="2225" spans="7:23" x14ac:dyDescent="0.3">
      <c r="G2225" s="69"/>
      <c r="H2225" s="69"/>
      <c r="I2225" s="69"/>
      <c r="J2225" s="69"/>
      <c r="K2225" s="69"/>
      <c r="L2225" s="69"/>
      <c r="M2225" s="69"/>
      <c r="N2225" s="69"/>
      <c r="O2225" s="69"/>
      <c r="P2225" s="69"/>
      <c r="Q2225" s="69"/>
      <c r="R2225" s="69"/>
      <c r="S2225" s="69"/>
      <c r="T2225" s="69"/>
      <c r="U2225" s="69"/>
      <c r="V2225" s="69"/>
      <c r="W2225" s="69"/>
    </row>
    <row r="2226" spans="7:23" x14ac:dyDescent="0.3">
      <c r="G2226" s="69"/>
      <c r="H2226" s="69"/>
      <c r="I2226" s="69"/>
      <c r="J2226" s="69"/>
      <c r="K2226" s="69"/>
      <c r="L2226" s="69"/>
      <c r="M2226" s="69"/>
      <c r="N2226" s="69"/>
      <c r="O2226" s="69"/>
      <c r="P2226" s="69"/>
      <c r="Q2226" s="69"/>
      <c r="R2226" s="69"/>
      <c r="S2226" s="69"/>
      <c r="T2226" s="69"/>
      <c r="U2226" s="69"/>
      <c r="V2226" s="69"/>
      <c r="W2226" s="69"/>
    </row>
    <row r="2227" spans="7:23" x14ac:dyDescent="0.3">
      <c r="G2227" s="69"/>
      <c r="H2227" s="69"/>
      <c r="I2227" s="69"/>
      <c r="J2227" s="69"/>
      <c r="K2227" s="69"/>
      <c r="L2227" s="69"/>
      <c r="M2227" s="69"/>
      <c r="N2227" s="69"/>
      <c r="O2227" s="69"/>
      <c r="P2227" s="69"/>
      <c r="Q2227" s="69"/>
      <c r="R2227" s="69"/>
      <c r="S2227" s="69"/>
      <c r="T2227" s="69"/>
      <c r="U2227" s="69"/>
      <c r="V2227" s="69"/>
      <c r="W2227" s="69"/>
    </row>
    <row r="2228" spans="7:23" x14ac:dyDescent="0.3">
      <c r="G2228" s="69"/>
      <c r="H2228" s="69"/>
      <c r="I2228" s="69"/>
      <c r="J2228" s="69"/>
      <c r="K2228" s="69"/>
      <c r="L2228" s="69"/>
      <c r="M2228" s="69"/>
      <c r="N2228" s="69"/>
      <c r="O2228" s="69"/>
      <c r="P2228" s="69"/>
      <c r="Q2228" s="69"/>
      <c r="R2228" s="69"/>
      <c r="S2228" s="69"/>
      <c r="T2228" s="69"/>
      <c r="U2228" s="69"/>
      <c r="V2228" s="69"/>
      <c r="W2228" s="69"/>
    </row>
    <row r="2229" spans="7:23" x14ac:dyDescent="0.3">
      <c r="G2229" s="69"/>
      <c r="H2229" s="69"/>
      <c r="I2229" s="69"/>
      <c r="J2229" s="69"/>
      <c r="K2229" s="69"/>
      <c r="L2229" s="69"/>
      <c r="M2229" s="69"/>
      <c r="N2229" s="69"/>
      <c r="O2229" s="69"/>
      <c r="P2229" s="69"/>
      <c r="Q2229" s="69"/>
      <c r="R2229" s="69"/>
      <c r="S2229" s="69"/>
      <c r="T2229" s="69"/>
      <c r="U2229" s="69"/>
      <c r="V2229" s="69"/>
      <c r="W2229" s="69"/>
    </row>
    <row r="2230" spans="7:23" x14ac:dyDescent="0.3">
      <c r="G2230" s="69"/>
      <c r="H2230" s="69"/>
      <c r="I2230" s="69"/>
      <c r="J2230" s="69"/>
      <c r="K2230" s="69"/>
      <c r="L2230" s="69"/>
      <c r="M2230" s="69"/>
      <c r="N2230" s="69"/>
      <c r="O2230" s="69"/>
      <c r="P2230" s="69"/>
      <c r="Q2230" s="69"/>
      <c r="R2230" s="69"/>
      <c r="S2230" s="69"/>
      <c r="T2230" s="69"/>
      <c r="U2230" s="69"/>
      <c r="V2230" s="69"/>
      <c r="W2230" s="69"/>
    </row>
    <row r="2231" spans="7:23" x14ac:dyDescent="0.3">
      <c r="G2231" s="69"/>
      <c r="H2231" s="69"/>
      <c r="I2231" s="69"/>
      <c r="J2231" s="69"/>
      <c r="K2231" s="69"/>
      <c r="L2231" s="69"/>
      <c r="M2231" s="69"/>
      <c r="N2231" s="69"/>
      <c r="O2231" s="69"/>
      <c r="P2231" s="69"/>
      <c r="Q2231" s="69"/>
      <c r="R2231" s="69"/>
      <c r="S2231" s="69"/>
      <c r="T2231" s="69"/>
      <c r="U2231" s="69"/>
      <c r="V2231" s="69"/>
      <c r="W2231" s="69"/>
    </row>
    <row r="2232" spans="7:23" x14ac:dyDescent="0.3">
      <c r="G2232" s="69"/>
      <c r="H2232" s="69"/>
      <c r="I2232" s="69"/>
      <c r="J2232" s="69"/>
      <c r="K2232" s="69"/>
      <c r="L2232" s="69"/>
      <c r="M2232" s="69"/>
      <c r="N2232" s="69"/>
      <c r="O2232" s="69"/>
      <c r="P2232" s="69"/>
      <c r="Q2232" s="69"/>
      <c r="R2232" s="69"/>
      <c r="S2232" s="69"/>
      <c r="T2232" s="69"/>
      <c r="U2232" s="69"/>
      <c r="V2232" s="69"/>
      <c r="W2232" s="69"/>
    </row>
    <row r="2233" spans="7:23" x14ac:dyDescent="0.3">
      <c r="G2233" s="69"/>
      <c r="H2233" s="69"/>
      <c r="I2233" s="69"/>
      <c r="J2233" s="69"/>
      <c r="K2233" s="69"/>
      <c r="L2233" s="69"/>
      <c r="M2233" s="69"/>
      <c r="N2233" s="69"/>
      <c r="O2233" s="69"/>
      <c r="P2233" s="69"/>
      <c r="Q2233" s="69"/>
      <c r="R2233" s="69"/>
      <c r="S2233" s="69"/>
      <c r="T2233" s="69"/>
      <c r="U2233" s="69"/>
      <c r="V2233" s="69"/>
      <c r="W2233" s="69"/>
    </row>
    <row r="2234" spans="7:23" x14ac:dyDescent="0.3">
      <c r="G2234" s="69"/>
      <c r="H2234" s="69"/>
      <c r="I2234" s="69"/>
      <c r="J2234" s="69"/>
      <c r="K2234" s="69"/>
      <c r="L2234" s="69"/>
      <c r="M2234" s="69"/>
      <c r="N2234" s="69"/>
      <c r="O2234" s="69"/>
      <c r="P2234" s="69"/>
      <c r="Q2234" s="69"/>
      <c r="R2234" s="69"/>
      <c r="S2234" s="69"/>
      <c r="T2234" s="69"/>
      <c r="U2234" s="69"/>
      <c r="V2234" s="69"/>
      <c r="W2234" s="69"/>
    </row>
    <row r="2235" spans="7:23" x14ac:dyDescent="0.3">
      <c r="G2235" s="69"/>
      <c r="H2235" s="69"/>
      <c r="I2235" s="69"/>
      <c r="J2235" s="69"/>
      <c r="K2235" s="69"/>
      <c r="L2235" s="69"/>
      <c r="M2235" s="69"/>
      <c r="N2235" s="69"/>
      <c r="O2235" s="69"/>
      <c r="P2235" s="69"/>
      <c r="Q2235" s="69"/>
      <c r="R2235" s="69"/>
      <c r="S2235" s="69"/>
      <c r="T2235" s="69"/>
      <c r="U2235" s="69"/>
      <c r="V2235" s="69"/>
      <c r="W2235" s="69"/>
    </row>
    <row r="2236" spans="7:23" x14ac:dyDescent="0.3">
      <c r="G2236" s="69"/>
      <c r="H2236" s="69"/>
      <c r="I2236" s="69"/>
      <c r="J2236" s="69"/>
      <c r="K2236" s="69"/>
      <c r="L2236" s="69"/>
      <c r="M2236" s="69"/>
      <c r="N2236" s="69"/>
      <c r="O2236" s="69"/>
      <c r="P2236" s="69"/>
      <c r="Q2236" s="69"/>
      <c r="R2236" s="69"/>
      <c r="S2236" s="69"/>
      <c r="T2236" s="69"/>
      <c r="U2236" s="69"/>
      <c r="V2236" s="69"/>
      <c r="W2236" s="69"/>
    </row>
    <row r="2237" spans="7:23" x14ac:dyDescent="0.3">
      <c r="G2237" s="69"/>
      <c r="H2237" s="69"/>
      <c r="I2237" s="69"/>
      <c r="J2237" s="69"/>
      <c r="K2237" s="69"/>
      <c r="L2237" s="69"/>
      <c r="M2237" s="69"/>
      <c r="N2237" s="69"/>
      <c r="O2237" s="69"/>
      <c r="P2237" s="69"/>
      <c r="Q2237" s="69"/>
      <c r="R2237" s="69"/>
      <c r="S2237" s="69"/>
      <c r="T2237" s="69"/>
      <c r="U2237" s="69"/>
      <c r="V2237" s="69"/>
      <c r="W2237" s="69"/>
    </row>
    <row r="2238" spans="7:23" x14ac:dyDescent="0.3">
      <c r="G2238" s="69"/>
      <c r="H2238" s="69"/>
      <c r="I2238" s="69"/>
      <c r="J2238" s="69"/>
      <c r="K2238" s="69"/>
      <c r="L2238" s="69"/>
      <c r="M2238" s="69"/>
      <c r="N2238" s="69"/>
      <c r="O2238" s="69"/>
      <c r="P2238" s="69"/>
      <c r="Q2238" s="69"/>
      <c r="R2238" s="69"/>
      <c r="S2238" s="69"/>
      <c r="T2238" s="69"/>
      <c r="U2238" s="69"/>
      <c r="V2238" s="69"/>
      <c r="W2238" s="69"/>
    </row>
    <row r="2239" spans="7:23" x14ac:dyDescent="0.3">
      <c r="G2239" s="69"/>
      <c r="H2239" s="69"/>
      <c r="I2239" s="69"/>
      <c r="J2239" s="69"/>
      <c r="K2239" s="69"/>
      <c r="L2239" s="69"/>
      <c r="M2239" s="69"/>
      <c r="N2239" s="69"/>
      <c r="O2239" s="69"/>
      <c r="P2239" s="69"/>
      <c r="Q2239" s="69"/>
      <c r="R2239" s="69"/>
      <c r="S2239" s="69"/>
      <c r="T2239" s="69"/>
      <c r="U2239" s="69"/>
      <c r="V2239" s="69"/>
      <c r="W2239" s="69"/>
    </row>
    <row r="2240" spans="7:23" x14ac:dyDescent="0.3">
      <c r="G2240" s="69"/>
      <c r="H2240" s="69"/>
      <c r="I2240" s="69"/>
      <c r="J2240" s="69"/>
      <c r="K2240" s="69"/>
      <c r="L2240" s="69"/>
      <c r="M2240" s="69"/>
      <c r="N2240" s="69"/>
      <c r="O2240" s="69"/>
      <c r="P2240" s="69"/>
      <c r="Q2240" s="69"/>
      <c r="R2240" s="69"/>
      <c r="S2240" s="69"/>
      <c r="T2240" s="69"/>
      <c r="U2240" s="69"/>
      <c r="V2240" s="69"/>
      <c r="W2240" s="69"/>
    </row>
    <row r="2241" spans="7:23" x14ac:dyDescent="0.3">
      <c r="G2241" s="69"/>
      <c r="H2241" s="69"/>
      <c r="I2241" s="69"/>
      <c r="J2241" s="69"/>
      <c r="K2241" s="69"/>
      <c r="L2241" s="69"/>
      <c r="M2241" s="69"/>
      <c r="N2241" s="69"/>
      <c r="O2241" s="69"/>
      <c r="P2241" s="69"/>
      <c r="Q2241" s="69"/>
      <c r="R2241" s="69"/>
      <c r="S2241" s="69"/>
      <c r="T2241" s="69"/>
      <c r="U2241" s="69"/>
      <c r="V2241" s="69"/>
      <c r="W2241" s="69"/>
    </row>
    <row r="2242" spans="7:23" x14ac:dyDescent="0.3">
      <c r="G2242" s="69"/>
      <c r="H2242" s="69"/>
      <c r="I2242" s="69"/>
      <c r="J2242" s="69"/>
      <c r="K2242" s="69"/>
      <c r="L2242" s="69"/>
      <c r="M2242" s="69"/>
      <c r="N2242" s="69"/>
      <c r="O2242" s="69"/>
      <c r="P2242" s="69"/>
      <c r="Q2242" s="69"/>
      <c r="R2242" s="69"/>
      <c r="S2242" s="69"/>
      <c r="T2242" s="69"/>
      <c r="U2242" s="69"/>
      <c r="V2242" s="69"/>
      <c r="W2242" s="69"/>
    </row>
    <row r="2243" spans="7:23" x14ac:dyDescent="0.3">
      <c r="G2243" s="69"/>
      <c r="H2243" s="69"/>
      <c r="I2243" s="69"/>
      <c r="J2243" s="69"/>
      <c r="K2243" s="69"/>
      <c r="L2243" s="69"/>
      <c r="M2243" s="69"/>
      <c r="N2243" s="69"/>
      <c r="O2243" s="69"/>
      <c r="P2243" s="69"/>
      <c r="Q2243" s="69"/>
      <c r="R2243" s="69"/>
      <c r="S2243" s="69"/>
      <c r="T2243" s="69"/>
      <c r="U2243" s="69"/>
      <c r="V2243" s="69"/>
      <c r="W2243" s="69"/>
    </row>
    <row r="2244" spans="7:23" x14ac:dyDescent="0.3">
      <c r="G2244" s="69"/>
      <c r="H2244" s="69"/>
      <c r="I2244" s="69"/>
      <c r="J2244" s="69"/>
      <c r="K2244" s="69"/>
      <c r="L2244" s="69"/>
      <c r="M2244" s="69"/>
      <c r="N2244" s="69"/>
      <c r="O2244" s="69"/>
      <c r="P2244" s="69"/>
      <c r="Q2244" s="69"/>
      <c r="R2244" s="69"/>
      <c r="S2244" s="69"/>
      <c r="T2244" s="69"/>
      <c r="U2244" s="69"/>
      <c r="V2244" s="69"/>
      <c r="W2244" s="69"/>
    </row>
    <row r="2245" spans="7:23" x14ac:dyDescent="0.3">
      <c r="G2245" s="69"/>
      <c r="H2245" s="69"/>
      <c r="I2245" s="69"/>
      <c r="J2245" s="69"/>
      <c r="K2245" s="69"/>
      <c r="L2245" s="69"/>
      <c r="M2245" s="69"/>
      <c r="N2245" s="69"/>
      <c r="O2245" s="69"/>
      <c r="P2245" s="69"/>
      <c r="Q2245" s="69"/>
      <c r="R2245" s="69"/>
      <c r="S2245" s="69"/>
      <c r="T2245" s="69"/>
      <c r="U2245" s="69"/>
      <c r="V2245" s="69"/>
      <c r="W2245" s="69"/>
    </row>
    <row r="2246" spans="7:23" x14ac:dyDescent="0.3">
      <c r="G2246" s="69"/>
      <c r="H2246" s="69"/>
      <c r="I2246" s="69"/>
      <c r="J2246" s="69"/>
      <c r="K2246" s="69"/>
      <c r="L2246" s="69"/>
      <c r="M2246" s="69"/>
      <c r="N2246" s="69"/>
      <c r="O2246" s="69"/>
      <c r="P2246" s="69"/>
      <c r="Q2246" s="69"/>
      <c r="R2246" s="69"/>
      <c r="S2246" s="69"/>
      <c r="T2246" s="69"/>
      <c r="U2246" s="69"/>
      <c r="V2246" s="69"/>
      <c r="W2246" s="69"/>
    </row>
    <row r="2247" spans="7:23" x14ac:dyDescent="0.3">
      <c r="G2247" s="69"/>
      <c r="H2247" s="69"/>
      <c r="I2247" s="69"/>
      <c r="J2247" s="69"/>
      <c r="K2247" s="69"/>
      <c r="L2247" s="69"/>
      <c r="M2247" s="69"/>
      <c r="N2247" s="69"/>
      <c r="O2247" s="69"/>
      <c r="P2247" s="69"/>
      <c r="Q2247" s="69"/>
      <c r="R2247" s="69"/>
      <c r="S2247" s="69"/>
      <c r="T2247" s="69"/>
      <c r="U2247" s="69"/>
      <c r="V2247" s="69"/>
      <c r="W2247" s="69"/>
    </row>
    <row r="2248" spans="7:23" x14ac:dyDescent="0.3">
      <c r="G2248" s="69"/>
      <c r="H2248" s="69"/>
      <c r="I2248" s="69"/>
      <c r="J2248" s="69"/>
      <c r="K2248" s="69"/>
      <c r="L2248" s="69"/>
      <c r="M2248" s="69"/>
      <c r="N2248" s="69"/>
      <c r="O2248" s="69"/>
      <c r="P2248" s="69"/>
      <c r="Q2248" s="69"/>
      <c r="R2248" s="69"/>
      <c r="S2248" s="69"/>
      <c r="T2248" s="69"/>
      <c r="U2248" s="69"/>
      <c r="V2248" s="69"/>
      <c r="W2248" s="69"/>
    </row>
    <row r="2249" spans="7:23" x14ac:dyDescent="0.3">
      <c r="G2249" s="69"/>
      <c r="H2249" s="69"/>
      <c r="I2249" s="69"/>
      <c r="J2249" s="69"/>
      <c r="K2249" s="69"/>
      <c r="L2249" s="69"/>
      <c r="M2249" s="69"/>
      <c r="N2249" s="69"/>
      <c r="O2249" s="69"/>
      <c r="P2249" s="69"/>
      <c r="Q2249" s="69"/>
      <c r="R2249" s="69"/>
      <c r="S2249" s="69"/>
      <c r="T2249" s="69"/>
      <c r="U2249" s="69"/>
      <c r="V2249" s="69"/>
      <c r="W2249" s="69"/>
    </row>
    <row r="2250" spans="7:23" x14ac:dyDescent="0.3">
      <c r="G2250" s="69"/>
      <c r="H2250" s="69"/>
      <c r="I2250" s="69"/>
      <c r="J2250" s="69"/>
      <c r="K2250" s="69"/>
      <c r="L2250" s="69"/>
      <c r="M2250" s="69"/>
      <c r="N2250" s="69"/>
      <c r="O2250" s="69"/>
      <c r="P2250" s="69"/>
      <c r="Q2250" s="69"/>
      <c r="R2250" s="69"/>
      <c r="S2250" s="69"/>
      <c r="T2250" s="69"/>
      <c r="U2250" s="69"/>
      <c r="V2250" s="69"/>
      <c r="W2250" s="69"/>
    </row>
    <row r="2251" spans="7:23" x14ac:dyDescent="0.3">
      <c r="G2251" s="69"/>
      <c r="H2251" s="69"/>
      <c r="I2251" s="69"/>
      <c r="J2251" s="69"/>
      <c r="K2251" s="69"/>
      <c r="L2251" s="69"/>
      <c r="M2251" s="69"/>
      <c r="N2251" s="69"/>
      <c r="O2251" s="69"/>
      <c r="P2251" s="69"/>
      <c r="Q2251" s="69"/>
      <c r="R2251" s="69"/>
      <c r="S2251" s="69"/>
      <c r="T2251" s="69"/>
      <c r="U2251" s="69"/>
      <c r="V2251" s="69"/>
      <c r="W2251" s="69"/>
    </row>
    <row r="2252" spans="7:23" x14ac:dyDescent="0.3">
      <c r="G2252" s="69"/>
      <c r="H2252" s="69"/>
      <c r="I2252" s="69"/>
      <c r="J2252" s="69"/>
      <c r="K2252" s="69"/>
      <c r="L2252" s="69"/>
      <c r="M2252" s="69"/>
      <c r="N2252" s="69"/>
      <c r="O2252" s="69"/>
      <c r="P2252" s="69"/>
      <c r="Q2252" s="69"/>
      <c r="R2252" s="69"/>
      <c r="S2252" s="69"/>
      <c r="T2252" s="69"/>
      <c r="U2252" s="69"/>
      <c r="V2252" s="69"/>
      <c r="W2252" s="69"/>
    </row>
    <row r="2253" spans="7:23" x14ac:dyDescent="0.3">
      <c r="G2253" s="69"/>
      <c r="H2253" s="69"/>
      <c r="I2253" s="69"/>
      <c r="J2253" s="69"/>
      <c r="K2253" s="69"/>
      <c r="L2253" s="69"/>
      <c r="M2253" s="69"/>
      <c r="N2253" s="69"/>
      <c r="O2253" s="69"/>
      <c r="P2253" s="69"/>
      <c r="Q2253" s="69"/>
      <c r="R2253" s="69"/>
      <c r="S2253" s="69"/>
      <c r="T2253" s="69"/>
      <c r="U2253" s="69"/>
      <c r="V2253" s="69"/>
      <c r="W2253" s="69"/>
    </row>
    <row r="2254" spans="7:23" x14ac:dyDescent="0.3">
      <c r="G2254" s="69"/>
      <c r="H2254" s="69"/>
      <c r="I2254" s="69"/>
      <c r="J2254" s="69"/>
      <c r="K2254" s="69"/>
      <c r="L2254" s="69"/>
      <c r="M2254" s="69"/>
      <c r="N2254" s="69"/>
      <c r="O2254" s="69"/>
      <c r="P2254" s="69"/>
      <c r="Q2254" s="69"/>
      <c r="R2254" s="69"/>
      <c r="S2254" s="69"/>
      <c r="T2254" s="69"/>
      <c r="U2254" s="69"/>
      <c r="V2254" s="69"/>
      <c r="W2254" s="69"/>
    </row>
    <row r="2255" spans="7:23" x14ac:dyDescent="0.3">
      <c r="G2255" s="69"/>
      <c r="H2255" s="69"/>
      <c r="I2255" s="69"/>
      <c r="J2255" s="69"/>
      <c r="K2255" s="69"/>
      <c r="L2255" s="69"/>
      <c r="M2255" s="69"/>
      <c r="N2255" s="69"/>
      <c r="O2255" s="69"/>
      <c r="P2255" s="69"/>
      <c r="Q2255" s="69"/>
      <c r="R2255" s="69"/>
      <c r="S2255" s="69"/>
      <c r="T2255" s="69"/>
      <c r="U2255" s="69"/>
      <c r="V2255" s="69"/>
      <c r="W2255" s="69"/>
    </row>
    <row r="2256" spans="7:23" x14ac:dyDescent="0.3">
      <c r="G2256" s="69"/>
      <c r="H2256" s="69"/>
      <c r="I2256" s="69"/>
      <c r="J2256" s="69"/>
      <c r="K2256" s="69"/>
      <c r="L2256" s="69"/>
      <c r="M2256" s="69"/>
      <c r="N2256" s="69"/>
      <c r="O2256" s="69"/>
      <c r="P2256" s="69"/>
      <c r="Q2256" s="69"/>
      <c r="R2256" s="69"/>
      <c r="S2256" s="69"/>
      <c r="T2256" s="69"/>
      <c r="U2256" s="69"/>
      <c r="V2256" s="69"/>
      <c r="W2256" s="69"/>
    </row>
    <row r="2257" spans="1:23" x14ac:dyDescent="0.3">
      <c r="G2257" s="69"/>
      <c r="H2257" s="69"/>
      <c r="I2257" s="69"/>
      <c r="J2257" s="69"/>
      <c r="K2257" s="69"/>
      <c r="L2257" s="69"/>
      <c r="M2257" s="69"/>
      <c r="N2257" s="69"/>
      <c r="O2257" s="69"/>
      <c r="P2257" s="69"/>
      <c r="Q2257" s="69"/>
      <c r="R2257" s="69"/>
      <c r="S2257" s="69"/>
      <c r="T2257" s="69"/>
      <c r="U2257" s="69"/>
      <c r="V2257" s="69"/>
      <c r="W2257" s="69"/>
    </row>
    <row r="2258" spans="1:23" x14ac:dyDescent="0.3">
      <c r="G2258" s="69"/>
      <c r="H2258" s="69"/>
      <c r="I2258" s="69"/>
      <c r="J2258" s="69"/>
      <c r="K2258" s="69"/>
      <c r="L2258" s="69"/>
      <c r="M2258" s="69"/>
      <c r="N2258" s="69"/>
      <c r="O2258" s="69"/>
      <c r="P2258" s="69"/>
      <c r="Q2258" s="69"/>
      <c r="R2258" s="69"/>
      <c r="S2258" s="69"/>
      <c r="T2258" s="69"/>
      <c r="U2258" s="69"/>
      <c r="V2258" s="69"/>
      <c r="W2258" s="69"/>
    </row>
    <row r="2259" spans="1:23" x14ac:dyDescent="0.3">
      <c r="G2259" s="69"/>
      <c r="H2259" s="69"/>
      <c r="I2259" s="69"/>
      <c r="J2259" s="69"/>
      <c r="K2259" s="69"/>
      <c r="L2259" s="69"/>
      <c r="M2259" s="69"/>
      <c r="N2259" s="69"/>
      <c r="O2259" s="69"/>
      <c r="P2259" s="69"/>
      <c r="Q2259" s="69"/>
      <c r="R2259" s="69"/>
      <c r="S2259" s="69"/>
      <c r="T2259" s="69"/>
      <c r="U2259" s="69"/>
      <c r="V2259" s="69"/>
      <c r="W2259" s="69"/>
    </row>
    <row r="2260" spans="1:23" ht="21" x14ac:dyDescent="0.4">
      <c r="A2260" s="48"/>
      <c r="G2260" s="69"/>
      <c r="H2260" s="69"/>
      <c r="I2260" s="69"/>
      <c r="J2260" s="69"/>
      <c r="K2260" s="69"/>
      <c r="L2260" s="69"/>
      <c r="M2260" s="69"/>
      <c r="N2260" s="69"/>
      <c r="O2260" s="69"/>
      <c r="P2260" s="69"/>
      <c r="Q2260" s="69"/>
      <c r="R2260" s="69"/>
      <c r="S2260" s="69"/>
      <c r="T2260" s="69"/>
      <c r="U2260" s="69"/>
      <c r="V2260" s="69"/>
      <c r="W2260" s="69"/>
    </row>
    <row r="2261" spans="1:23" x14ac:dyDescent="0.3">
      <c r="G2261" s="69"/>
      <c r="H2261" s="69"/>
      <c r="I2261" s="69"/>
      <c r="J2261" s="69"/>
      <c r="K2261" s="69"/>
      <c r="L2261" s="69"/>
      <c r="M2261" s="69"/>
      <c r="N2261" s="69"/>
      <c r="O2261" s="69"/>
      <c r="P2261" s="69"/>
      <c r="Q2261" s="69"/>
      <c r="R2261" s="69"/>
      <c r="S2261" s="69"/>
      <c r="T2261" s="69"/>
      <c r="U2261" s="69"/>
      <c r="V2261" s="69"/>
      <c r="W2261" s="69"/>
    </row>
    <row r="2262" spans="1:23" x14ac:dyDescent="0.3">
      <c r="G2262" s="69"/>
      <c r="H2262" s="69"/>
      <c r="I2262" s="69"/>
      <c r="J2262" s="69"/>
      <c r="K2262" s="69"/>
      <c r="L2262" s="69"/>
      <c r="M2262" s="69"/>
      <c r="N2262" s="69"/>
      <c r="O2262" s="69"/>
      <c r="P2262" s="69"/>
      <c r="Q2262" s="69"/>
      <c r="R2262" s="69"/>
      <c r="S2262" s="69"/>
      <c r="T2262" s="69"/>
      <c r="U2262" s="69"/>
      <c r="V2262" s="69"/>
      <c r="W2262" s="69"/>
    </row>
    <row r="2263" spans="1:23" x14ac:dyDescent="0.3">
      <c r="G2263" s="69"/>
      <c r="H2263" s="69"/>
      <c r="I2263" s="69"/>
      <c r="J2263" s="69"/>
      <c r="K2263" s="69"/>
      <c r="L2263" s="69"/>
      <c r="M2263" s="69"/>
      <c r="N2263" s="69"/>
      <c r="O2263" s="69"/>
      <c r="P2263" s="69"/>
      <c r="Q2263" s="69"/>
      <c r="R2263" s="69"/>
      <c r="S2263" s="69"/>
      <c r="T2263" s="69"/>
      <c r="U2263" s="69"/>
      <c r="V2263" s="69"/>
      <c r="W2263" s="69"/>
    </row>
    <row r="2264" spans="1:23" x14ac:dyDescent="0.3">
      <c r="G2264" s="69"/>
      <c r="H2264" s="69"/>
      <c r="I2264" s="69"/>
      <c r="J2264" s="69"/>
      <c r="K2264" s="69"/>
      <c r="L2264" s="69"/>
      <c r="M2264" s="69"/>
      <c r="N2264" s="69"/>
      <c r="O2264" s="69"/>
      <c r="P2264" s="69"/>
      <c r="Q2264" s="69"/>
      <c r="R2264" s="69"/>
      <c r="S2264" s="69"/>
      <c r="T2264" s="69"/>
      <c r="U2264" s="69"/>
      <c r="V2264" s="69"/>
      <c r="W2264" s="69"/>
    </row>
    <row r="2265" spans="1:23" x14ac:dyDescent="0.3">
      <c r="G2265" s="69"/>
      <c r="H2265" s="69"/>
      <c r="I2265" s="69"/>
      <c r="J2265" s="69"/>
      <c r="K2265" s="69"/>
      <c r="L2265" s="69"/>
      <c r="M2265" s="69"/>
      <c r="N2265" s="69"/>
      <c r="O2265" s="69"/>
      <c r="P2265" s="69"/>
      <c r="Q2265" s="69"/>
      <c r="R2265" s="69"/>
      <c r="S2265" s="69"/>
      <c r="T2265" s="69"/>
      <c r="U2265" s="69"/>
      <c r="V2265" s="69"/>
      <c r="W2265" s="69"/>
    </row>
    <row r="2266" spans="1:23" x14ac:dyDescent="0.3">
      <c r="G2266" s="69"/>
      <c r="H2266" s="69"/>
      <c r="I2266" s="69"/>
      <c r="J2266" s="69"/>
      <c r="K2266" s="69"/>
      <c r="L2266" s="69"/>
      <c r="M2266" s="69"/>
      <c r="N2266" s="69"/>
      <c r="O2266" s="69"/>
      <c r="P2266" s="69"/>
      <c r="Q2266" s="69"/>
      <c r="R2266" s="69"/>
      <c r="S2266" s="69"/>
      <c r="T2266" s="69"/>
      <c r="U2266" s="69"/>
      <c r="V2266" s="69"/>
      <c r="W2266" s="69"/>
    </row>
    <row r="2267" spans="1:23" x14ac:dyDescent="0.3">
      <c r="G2267" s="69"/>
      <c r="H2267" s="69"/>
      <c r="I2267" s="69"/>
      <c r="J2267" s="69"/>
      <c r="K2267" s="69"/>
      <c r="L2267" s="69"/>
      <c r="M2267" s="69"/>
      <c r="N2267" s="69"/>
      <c r="O2267" s="69"/>
      <c r="P2267" s="69"/>
      <c r="Q2267" s="69"/>
      <c r="R2267" s="69"/>
      <c r="S2267" s="69"/>
      <c r="T2267" s="69"/>
      <c r="U2267" s="69"/>
      <c r="V2267" s="69"/>
      <c r="W2267" s="69"/>
    </row>
    <row r="2268" spans="1:23" x14ac:dyDescent="0.3">
      <c r="G2268" s="69"/>
      <c r="H2268" s="69"/>
      <c r="I2268" s="69"/>
      <c r="J2268" s="69"/>
      <c r="K2268" s="69"/>
      <c r="L2268" s="69"/>
      <c r="M2268" s="69"/>
      <c r="N2268" s="69"/>
      <c r="O2268" s="69"/>
      <c r="P2268" s="69"/>
      <c r="Q2268" s="69"/>
      <c r="R2268" s="69"/>
      <c r="S2268" s="69"/>
      <c r="T2268" s="69"/>
      <c r="U2268" s="69"/>
      <c r="V2268" s="69"/>
      <c r="W2268" s="69"/>
    </row>
    <row r="2269" spans="1:23" x14ac:dyDescent="0.3">
      <c r="G2269" s="69"/>
      <c r="H2269" s="69"/>
      <c r="I2269" s="69"/>
      <c r="J2269" s="69"/>
      <c r="K2269" s="69"/>
      <c r="L2269" s="69"/>
      <c r="M2269" s="69"/>
      <c r="N2269" s="69"/>
      <c r="O2269" s="69"/>
      <c r="P2269" s="69"/>
      <c r="Q2269" s="69"/>
      <c r="R2269" s="69"/>
      <c r="S2269" s="69"/>
      <c r="T2269" s="69"/>
      <c r="U2269" s="69"/>
      <c r="V2269" s="69"/>
      <c r="W2269" s="69"/>
    </row>
    <row r="2270" spans="1:23" x14ac:dyDescent="0.3">
      <c r="G2270" s="69"/>
      <c r="H2270" s="69"/>
      <c r="I2270" s="69"/>
      <c r="J2270" s="69"/>
      <c r="K2270" s="69"/>
      <c r="L2270" s="69"/>
      <c r="M2270" s="69"/>
      <c r="N2270" s="69"/>
      <c r="O2270" s="69"/>
      <c r="P2270" s="69"/>
      <c r="Q2270" s="69"/>
      <c r="R2270" s="69"/>
      <c r="S2270" s="69"/>
      <c r="T2270" s="69"/>
      <c r="U2270" s="69"/>
      <c r="V2270" s="69"/>
      <c r="W2270" s="69"/>
    </row>
    <row r="2271" spans="1:23" x14ac:dyDescent="0.3">
      <c r="G2271" s="69"/>
      <c r="H2271" s="69"/>
      <c r="I2271" s="69"/>
      <c r="J2271" s="69"/>
      <c r="K2271" s="69"/>
      <c r="L2271" s="69"/>
      <c r="M2271" s="69"/>
      <c r="N2271" s="69"/>
      <c r="O2271" s="69"/>
      <c r="P2271" s="69"/>
      <c r="Q2271" s="69"/>
      <c r="R2271" s="69"/>
      <c r="S2271" s="69"/>
      <c r="T2271" s="69"/>
      <c r="U2271" s="69"/>
      <c r="V2271" s="69"/>
      <c r="W2271" s="69"/>
    </row>
    <row r="2272" spans="1:23" x14ac:dyDescent="0.3">
      <c r="G2272" s="69"/>
      <c r="H2272" s="69"/>
      <c r="I2272" s="69"/>
      <c r="J2272" s="69"/>
      <c r="K2272" s="69"/>
      <c r="L2272" s="69"/>
      <c r="M2272" s="69"/>
      <c r="N2272" s="69"/>
      <c r="O2272" s="69"/>
      <c r="P2272" s="69"/>
      <c r="Q2272" s="69"/>
      <c r="R2272" s="69"/>
      <c r="S2272" s="69"/>
      <c r="T2272" s="69"/>
      <c r="U2272" s="69"/>
      <c r="V2272" s="69"/>
      <c r="W2272" s="69"/>
    </row>
    <row r="2273" spans="7:23" x14ac:dyDescent="0.3">
      <c r="G2273" s="69"/>
      <c r="H2273" s="69"/>
      <c r="I2273" s="69"/>
      <c r="J2273" s="69"/>
      <c r="K2273" s="69"/>
      <c r="L2273" s="69"/>
      <c r="M2273" s="69"/>
      <c r="N2273" s="69"/>
      <c r="O2273" s="69"/>
      <c r="P2273" s="69"/>
      <c r="Q2273" s="69"/>
      <c r="R2273" s="69"/>
      <c r="S2273" s="69"/>
      <c r="T2273" s="69"/>
      <c r="U2273" s="69"/>
      <c r="V2273" s="69"/>
      <c r="W2273" s="69"/>
    </row>
    <row r="2274" spans="7:23" x14ac:dyDescent="0.3">
      <c r="G2274" s="69"/>
      <c r="H2274" s="69"/>
      <c r="I2274" s="69"/>
      <c r="J2274" s="69"/>
      <c r="K2274" s="69"/>
      <c r="L2274" s="69"/>
      <c r="M2274" s="69"/>
      <c r="N2274" s="69"/>
      <c r="O2274" s="69"/>
      <c r="P2274" s="69"/>
      <c r="Q2274" s="69"/>
      <c r="R2274" s="69"/>
      <c r="S2274" s="69"/>
      <c r="T2274" s="69"/>
      <c r="U2274" s="69"/>
      <c r="V2274" s="69"/>
      <c r="W2274" s="69"/>
    </row>
    <row r="2275" spans="7:23" x14ac:dyDescent="0.3">
      <c r="G2275" s="69"/>
      <c r="H2275" s="69"/>
      <c r="I2275" s="69"/>
      <c r="J2275" s="69"/>
      <c r="K2275" s="69"/>
      <c r="L2275" s="69"/>
      <c r="M2275" s="69"/>
      <c r="N2275" s="69"/>
      <c r="O2275" s="69"/>
      <c r="P2275" s="69"/>
      <c r="Q2275" s="69"/>
      <c r="R2275" s="69"/>
      <c r="S2275" s="69"/>
      <c r="T2275" s="69"/>
      <c r="U2275" s="69"/>
      <c r="V2275" s="69"/>
      <c r="W2275" s="69"/>
    </row>
    <row r="2276" spans="7:23" x14ac:dyDescent="0.3">
      <c r="G2276" s="69"/>
      <c r="H2276" s="69"/>
      <c r="I2276" s="69"/>
      <c r="J2276" s="69"/>
      <c r="K2276" s="69"/>
      <c r="L2276" s="69"/>
      <c r="M2276" s="69"/>
      <c r="N2276" s="69"/>
      <c r="O2276" s="69"/>
      <c r="P2276" s="69"/>
      <c r="Q2276" s="69"/>
      <c r="R2276" s="69"/>
      <c r="S2276" s="69"/>
      <c r="T2276" s="69"/>
      <c r="U2276" s="69"/>
      <c r="V2276" s="69"/>
      <c r="W2276" s="69"/>
    </row>
    <row r="2277" spans="7:23" x14ac:dyDescent="0.3">
      <c r="G2277" s="69"/>
      <c r="H2277" s="69"/>
      <c r="I2277" s="69"/>
      <c r="J2277" s="69"/>
      <c r="K2277" s="69"/>
      <c r="L2277" s="69"/>
      <c r="M2277" s="69"/>
      <c r="N2277" s="69"/>
      <c r="O2277" s="69"/>
      <c r="P2277" s="69"/>
      <c r="Q2277" s="69"/>
      <c r="R2277" s="69"/>
      <c r="S2277" s="69"/>
      <c r="T2277" s="69"/>
      <c r="U2277" s="69"/>
      <c r="V2277" s="69"/>
      <c r="W2277" s="69"/>
    </row>
    <row r="2278" spans="7:23" x14ac:dyDescent="0.3">
      <c r="G2278" s="69"/>
      <c r="H2278" s="69"/>
      <c r="I2278" s="69"/>
      <c r="J2278" s="69"/>
      <c r="K2278" s="69"/>
      <c r="L2278" s="69"/>
      <c r="M2278" s="69"/>
      <c r="N2278" s="69"/>
      <c r="O2278" s="69"/>
      <c r="P2278" s="69"/>
      <c r="Q2278" s="69"/>
      <c r="R2278" s="69"/>
      <c r="S2278" s="69"/>
      <c r="T2278" s="69"/>
      <c r="U2278" s="69"/>
      <c r="V2278" s="69"/>
      <c r="W2278" s="69"/>
    </row>
    <row r="2279" spans="7:23" x14ac:dyDescent="0.3">
      <c r="G2279" s="69"/>
      <c r="H2279" s="69"/>
      <c r="I2279" s="69"/>
      <c r="J2279" s="69"/>
      <c r="K2279" s="69"/>
      <c r="L2279" s="69"/>
      <c r="M2279" s="69"/>
      <c r="N2279" s="69"/>
      <c r="O2279" s="69"/>
      <c r="P2279" s="69"/>
      <c r="Q2279" s="69"/>
      <c r="R2279" s="69"/>
      <c r="S2279" s="69"/>
      <c r="T2279" s="69"/>
      <c r="U2279" s="69"/>
      <c r="V2279" s="69"/>
      <c r="W2279" s="69"/>
    </row>
    <row r="2280" spans="7:23" x14ac:dyDescent="0.3">
      <c r="G2280" s="69"/>
      <c r="H2280" s="69"/>
      <c r="I2280" s="69"/>
      <c r="J2280" s="69"/>
      <c r="K2280" s="69"/>
      <c r="L2280" s="69"/>
      <c r="M2280" s="69"/>
      <c r="N2280" s="69"/>
      <c r="O2280" s="69"/>
      <c r="P2280" s="69"/>
      <c r="Q2280" s="69"/>
      <c r="R2280" s="69"/>
      <c r="S2280" s="69"/>
      <c r="T2280" s="69"/>
      <c r="U2280" s="69"/>
      <c r="V2280" s="69"/>
      <c r="W2280" s="69"/>
    </row>
    <row r="2281" spans="7:23" x14ac:dyDescent="0.3">
      <c r="G2281" s="69"/>
      <c r="H2281" s="69"/>
      <c r="I2281" s="69"/>
      <c r="J2281" s="69"/>
      <c r="K2281" s="69"/>
      <c r="L2281" s="69"/>
      <c r="M2281" s="69"/>
      <c r="N2281" s="69"/>
      <c r="O2281" s="69"/>
      <c r="P2281" s="69"/>
      <c r="Q2281" s="69"/>
      <c r="R2281" s="69"/>
      <c r="S2281" s="69"/>
      <c r="T2281" s="69"/>
      <c r="U2281" s="69"/>
      <c r="V2281" s="69"/>
      <c r="W2281" s="69"/>
    </row>
    <row r="2282" spans="7:23" x14ac:dyDescent="0.3">
      <c r="G2282" s="69"/>
      <c r="H2282" s="69"/>
      <c r="I2282" s="69"/>
      <c r="J2282" s="69"/>
      <c r="K2282" s="69"/>
      <c r="L2282" s="69"/>
      <c r="M2282" s="69"/>
      <c r="N2282" s="69"/>
      <c r="O2282" s="69"/>
      <c r="P2282" s="69"/>
      <c r="Q2282" s="69"/>
      <c r="R2282" s="69"/>
      <c r="S2282" s="69"/>
      <c r="T2282" s="69"/>
      <c r="U2282" s="69"/>
      <c r="V2282" s="69"/>
      <c r="W2282" s="69"/>
    </row>
    <row r="2283" spans="7:23" x14ac:dyDescent="0.3">
      <c r="G2283" s="69"/>
      <c r="H2283" s="69"/>
      <c r="I2283" s="69"/>
      <c r="J2283" s="69"/>
      <c r="K2283" s="69"/>
      <c r="L2283" s="69"/>
      <c r="M2283" s="69"/>
      <c r="N2283" s="69"/>
      <c r="O2283" s="69"/>
      <c r="P2283" s="69"/>
      <c r="Q2283" s="69"/>
      <c r="R2283" s="69"/>
      <c r="S2283" s="69"/>
      <c r="T2283" s="69"/>
      <c r="U2283" s="69"/>
      <c r="V2283" s="69"/>
      <c r="W2283" s="69"/>
    </row>
    <row r="2284" spans="7:23" x14ac:dyDescent="0.3">
      <c r="G2284" s="69"/>
      <c r="H2284" s="69"/>
      <c r="I2284" s="69"/>
      <c r="J2284" s="69"/>
      <c r="K2284" s="69"/>
      <c r="L2284" s="69"/>
      <c r="M2284" s="69"/>
      <c r="N2284" s="69"/>
      <c r="O2284" s="69"/>
      <c r="P2284" s="69"/>
      <c r="Q2284" s="69"/>
      <c r="R2284" s="69"/>
      <c r="S2284" s="69"/>
      <c r="T2284" s="69"/>
      <c r="U2284" s="69"/>
      <c r="V2284" s="69"/>
      <c r="W2284" s="69"/>
    </row>
    <row r="2285" spans="7:23" x14ac:dyDescent="0.3">
      <c r="G2285" s="69"/>
      <c r="H2285" s="69"/>
      <c r="I2285" s="69"/>
      <c r="J2285" s="69"/>
      <c r="K2285" s="69"/>
      <c r="L2285" s="69"/>
      <c r="M2285" s="69"/>
      <c r="N2285" s="69"/>
      <c r="O2285" s="69"/>
      <c r="P2285" s="69"/>
      <c r="Q2285" s="69"/>
      <c r="R2285" s="69"/>
      <c r="S2285" s="69"/>
      <c r="T2285" s="69"/>
      <c r="U2285" s="69"/>
      <c r="V2285" s="69"/>
      <c r="W2285" s="69"/>
    </row>
    <row r="2286" spans="7:23" x14ac:dyDescent="0.3">
      <c r="G2286" s="69"/>
      <c r="H2286" s="69"/>
      <c r="I2286" s="69"/>
      <c r="J2286" s="69"/>
      <c r="K2286" s="69"/>
      <c r="L2286" s="69"/>
      <c r="M2286" s="69"/>
      <c r="N2286" s="69"/>
      <c r="O2286" s="69"/>
      <c r="P2286" s="69"/>
      <c r="Q2286" s="69"/>
      <c r="R2286" s="69"/>
      <c r="S2286" s="69"/>
      <c r="T2286" s="69"/>
      <c r="U2286" s="69"/>
      <c r="V2286" s="69"/>
      <c r="W2286" s="69"/>
    </row>
    <row r="2287" spans="7:23" x14ac:dyDescent="0.3">
      <c r="G2287" s="69"/>
      <c r="H2287" s="69"/>
      <c r="I2287" s="69"/>
      <c r="J2287" s="69"/>
      <c r="K2287" s="69"/>
      <c r="L2287" s="69"/>
      <c r="M2287" s="69"/>
      <c r="N2287" s="69"/>
      <c r="O2287" s="69"/>
      <c r="P2287" s="69"/>
      <c r="Q2287" s="69"/>
      <c r="R2287" s="69"/>
      <c r="S2287" s="69"/>
      <c r="T2287" s="69"/>
      <c r="U2287" s="69"/>
      <c r="V2287" s="69"/>
      <c r="W2287" s="69"/>
    </row>
    <row r="2288" spans="7:23" x14ac:dyDescent="0.3">
      <c r="G2288" s="69"/>
      <c r="H2288" s="69"/>
      <c r="I2288" s="69"/>
      <c r="J2288" s="69"/>
      <c r="K2288" s="69"/>
      <c r="L2288" s="69"/>
      <c r="M2288" s="69"/>
      <c r="N2288" s="69"/>
      <c r="O2288" s="69"/>
      <c r="P2288" s="69"/>
      <c r="Q2288" s="69"/>
      <c r="R2288" s="69"/>
      <c r="S2288" s="69"/>
      <c r="T2288" s="69"/>
      <c r="U2288" s="69"/>
      <c r="V2288" s="69"/>
      <c r="W2288" s="69"/>
    </row>
    <row r="2289" spans="7:23" x14ac:dyDescent="0.3">
      <c r="G2289" s="69"/>
      <c r="H2289" s="69"/>
      <c r="I2289" s="69"/>
      <c r="J2289" s="69"/>
      <c r="K2289" s="69"/>
      <c r="L2289" s="69"/>
      <c r="M2289" s="69"/>
      <c r="N2289" s="69"/>
      <c r="O2289" s="69"/>
      <c r="P2289" s="69"/>
      <c r="Q2289" s="69"/>
      <c r="R2289" s="69"/>
      <c r="S2289" s="69"/>
      <c r="T2289" s="69"/>
      <c r="U2289" s="69"/>
      <c r="V2289" s="69"/>
      <c r="W2289" s="69"/>
    </row>
    <row r="2290" spans="7:23" x14ac:dyDescent="0.3">
      <c r="G2290" s="69"/>
      <c r="H2290" s="69"/>
      <c r="I2290" s="69"/>
      <c r="J2290" s="69"/>
      <c r="K2290" s="69"/>
      <c r="L2290" s="69"/>
      <c r="M2290" s="69"/>
      <c r="N2290" s="69"/>
      <c r="O2290" s="69"/>
      <c r="P2290" s="69"/>
      <c r="Q2290" s="69"/>
      <c r="R2290" s="69"/>
      <c r="S2290" s="69"/>
      <c r="T2290" s="69"/>
      <c r="U2290" s="69"/>
      <c r="V2290" s="69"/>
      <c r="W2290" s="69"/>
    </row>
    <row r="2291" spans="7:23" x14ac:dyDescent="0.3">
      <c r="G2291" s="69"/>
      <c r="H2291" s="69"/>
      <c r="I2291" s="69"/>
      <c r="J2291" s="69"/>
      <c r="K2291" s="69"/>
      <c r="L2291" s="69"/>
      <c r="M2291" s="69"/>
      <c r="N2291" s="69"/>
      <c r="O2291" s="69"/>
      <c r="P2291" s="69"/>
      <c r="Q2291" s="69"/>
      <c r="R2291" s="69"/>
      <c r="S2291" s="69"/>
      <c r="T2291" s="69"/>
      <c r="U2291" s="69"/>
      <c r="V2291" s="69"/>
      <c r="W2291" s="69"/>
    </row>
    <row r="2292" spans="7:23" x14ac:dyDescent="0.3">
      <c r="G2292" s="69"/>
      <c r="H2292" s="69"/>
      <c r="I2292" s="69"/>
      <c r="J2292" s="69"/>
      <c r="K2292" s="69"/>
      <c r="L2292" s="69"/>
      <c r="M2292" s="69"/>
      <c r="N2292" s="69"/>
      <c r="O2292" s="69"/>
      <c r="P2292" s="69"/>
      <c r="Q2292" s="69"/>
      <c r="R2292" s="69"/>
      <c r="S2292" s="69"/>
      <c r="T2292" s="69"/>
      <c r="U2292" s="69"/>
      <c r="V2292" s="69"/>
      <c r="W2292" s="69"/>
    </row>
    <row r="2293" spans="7:23" x14ac:dyDescent="0.3">
      <c r="G2293" s="69"/>
      <c r="H2293" s="69"/>
      <c r="I2293" s="69"/>
      <c r="J2293" s="69"/>
      <c r="K2293" s="69"/>
      <c r="L2293" s="69"/>
      <c r="M2293" s="69"/>
      <c r="N2293" s="69"/>
      <c r="O2293" s="69"/>
      <c r="P2293" s="69"/>
      <c r="Q2293" s="69"/>
      <c r="R2293" s="69"/>
      <c r="S2293" s="69"/>
      <c r="T2293" s="69"/>
      <c r="U2293" s="69"/>
      <c r="V2293" s="69"/>
      <c r="W2293" s="69"/>
    </row>
    <row r="2294" spans="7:23" x14ac:dyDescent="0.3">
      <c r="G2294" s="69"/>
      <c r="H2294" s="69"/>
      <c r="I2294" s="69"/>
      <c r="J2294" s="69"/>
      <c r="K2294" s="69"/>
      <c r="L2294" s="69"/>
      <c r="M2294" s="69"/>
      <c r="N2294" s="69"/>
      <c r="O2294" s="69"/>
      <c r="P2294" s="69"/>
      <c r="Q2294" s="69"/>
      <c r="R2294" s="69"/>
      <c r="S2294" s="69"/>
      <c r="T2294" s="69"/>
      <c r="U2294" s="69"/>
      <c r="V2294" s="69"/>
      <c r="W2294" s="69"/>
    </row>
    <row r="2295" spans="7:23" x14ac:dyDescent="0.3">
      <c r="G2295" s="69"/>
      <c r="H2295" s="69"/>
      <c r="I2295" s="69"/>
      <c r="J2295" s="69"/>
      <c r="K2295" s="69"/>
      <c r="L2295" s="69"/>
      <c r="M2295" s="69"/>
      <c r="N2295" s="69"/>
      <c r="O2295" s="69"/>
      <c r="P2295" s="69"/>
      <c r="Q2295" s="69"/>
      <c r="R2295" s="69"/>
      <c r="S2295" s="69"/>
      <c r="T2295" s="69"/>
      <c r="U2295" s="69"/>
      <c r="V2295" s="69"/>
      <c r="W2295" s="69"/>
    </row>
    <row r="2296" spans="7:23" x14ac:dyDescent="0.3">
      <c r="G2296" s="69"/>
      <c r="H2296" s="69"/>
      <c r="I2296" s="69"/>
      <c r="J2296" s="69"/>
      <c r="K2296" s="69"/>
      <c r="L2296" s="69"/>
      <c r="M2296" s="69"/>
      <c r="N2296" s="69"/>
      <c r="O2296" s="69"/>
      <c r="P2296" s="69"/>
      <c r="Q2296" s="69"/>
      <c r="R2296" s="69"/>
      <c r="S2296" s="69"/>
      <c r="T2296" s="69"/>
      <c r="U2296" s="69"/>
      <c r="V2296" s="69"/>
      <c r="W2296" s="69"/>
    </row>
    <row r="2297" spans="7:23" x14ac:dyDescent="0.3">
      <c r="G2297" s="69"/>
      <c r="H2297" s="69"/>
      <c r="I2297" s="69"/>
      <c r="J2297" s="69"/>
      <c r="K2297" s="69"/>
      <c r="L2297" s="69"/>
      <c r="M2297" s="69"/>
      <c r="N2297" s="69"/>
      <c r="O2297" s="69"/>
      <c r="P2297" s="69"/>
      <c r="Q2297" s="69"/>
      <c r="R2297" s="69"/>
      <c r="S2297" s="69"/>
      <c r="T2297" s="69"/>
      <c r="U2297" s="69"/>
      <c r="V2297" s="69"/>
      <c r="W2297" s="69"/>
    </row>
    <row r="2298" spans="7:23" x14ac:dyDescent="0.3">
      <c r="G2298" s="69"/>
      <c r="H2298" s="69"/>
      <c r="I2298" s="69"/>
      <c r="J2298" s="69"/>
      <c r="K2298" s="69"/>
      <c r="L2298" s="69"/>
      <c r="M2298" s="69"/>
      <c r="N2298" s="69"/>
      <c r="O2298" s="69"/>
      <c r="P2298" s="69"/>
      <c r="Q2298" s="69"/>
      <c r="R2298" s="69"/>
      <c r="S2298" s="69"/>
      <c r="T2298" s="69"/>
      <c r="U2298" s="69"/>
      <c r="V2298" s="69"/>
      <c r="W2298" s="69"/>
    </row>
    <row r="2299" spans="7:23" x14ac:dyDescent="0.3">
      <c r="G2299" s="69"/>
      <c r="H2299" s="69"/>
      <c r="I2299" s="69"/>
      <c r="J2299" s="69"/>
      <c r="K2299" s="69"/>
      <c r="L2299" s="69"/>
      <c r="M2299" s="69"/>
      <c r="N2299" s="69"/>
      <c r="O2299" s="69"/>
      <c r="P2299" s="69"/>
      <c r="Q2299" s="69"/>
      <c r="R2299" s="69"/>
      <c r="S2299" s="69"/>
      <c r="T2299" s="69"/>
      <c r="U2299" s="69"/>
      <c r="V2299" s="69"/>
      <c r="W2299" s="69"/>
    </row>
    <row r="2300" spans="7:23" x14ac:dyDescent="0.3">
      <c r="G2300" s="69"/>
      <c r="H2300" s="69"/>
      <c r="I2300" s="69"/>
      <c r="J2300" s="69"/>
      <c r="K2300" s="69"/>
      <c r="L2300" s="69"/>
      <c r="M2300" s="69"/>
      <c r="N2300" s="69"/>
      <c r="O2300" s="69"/>
      <c r="P2300" s="69"/>
      <c r="Q2300" s="69"/>
      <c r="R2300" s="69"/>
      <c r="S2300" s="69"/>
      <c r="T2300" s="69"/>
      <c r="U2300" s="69"/>
      <c r="V2300" s="69"/>
      <c r="W2300" s="69"/>
    </row>
    <row r="2301" spans="7:23" x14ac:dyDescent="0.3">
      <c r="G2301" s="69"/>
      <c r="H2301" s="69"/>
      <c r="I2301" s="69"/>
      <c r="J2301" s="69"/>
      <c r="K2301" s="69"/>
      <c r="L2301" s="69"/>
      <c r="M2301" s="69"/>
      <c r="N2301" s="69"/>
      <c r="O2301" s="69"/>
      <c r="P2301" s="69"/>
      <c r="Q2301" s="69"/>
      <c r="R2301" s="69"/>
      <c r="S2301" s="69"/>
      <c r="T2301" s="69"/>
      <c r="U2301" s="69"/>
      <c r="V2301" s="69"/>
      <c r="W2301" s="69"/>
    </row>
    <row r="2302" spans="7:23" x14ac:dyDescent="0.3">
      <c r="G2302" s="69"/>
      <c r="H2302" s="69"/>
      <c r="I2302" s="69"/>
      <c r="J2302" s="69"/>
      <c r="K2302" s="69"/>
      <c r="L2302" s="69"/>
      <c r="M2302" s="69"/>
      <c r="N2302" s="69"/>
      <c r="O2302" s="69"/>
      <c r="P2302" s="69"/>
      <c r="Q2302" s="69"/>
      <c r="R2302" s="69"/>
      <c r="S2302" s="69"/>
      <c r="T2302" s="69"/>
      <c r="U2302" s="69"/>
      <c r="V2302" s="69"/>
      <c r="W2302" s="69"/>
    </row>
    <row r="2303" spans="7:23" x14ac:dyDescent="0.3">
      <c r="G2303" s="69"/>
      <c r="H2303" s="69"/>
      <c r="I2303" s="69"/>
      <c r="J2303" s="69"/>
      <c r="K2303" s="69"/>
      <c r="L2303" s="69"/>
      <c r="M2303" s="69"/>
      <c r="N2303" s="69"/>
      <c r="O2303" s="69"/>
      <c r="P2303" s="69"/>
      <c r="Q2303" s="69"/>
      <c r="R2303" s="69"/>
      <c r="S2303" s="69"/>
      <c r="T2303" s="69"/>
      <c r="U2303" s="69"/>
      <c r="V2303" s="69"/>
      <c r="W2303" s="69"/>
    </row>
    <row r="2304" spans="7:23" x14ac:dyDescent="0.3">
      <c r="G2304" s="69"/>
      <c r="H2304" s="69"/>
      <c r="I2304" s="69"/>
      <c r="J2304" s="69"/>
      <c r="K2304" s="69"/>
      <c r="L2304" s="69"/>
      <c r="M2304" s="69"/>
      <c r="N2304" s="69"/>
      <c r="O2304" s="69"/>
      <c r="P2304" s="69"/>
      <c r="Q2304" s="69"/>
      <c r="R2304" s="69"/>
      <c r="S2304" s="69"/>
      <c r="T2304" s="69"/>
      <c r="U2304" s="69"/>
      <c r="V2304" s="69"/>
      <c r="W2304" s="69"/>
    </row>
    <row r="2305" spans="7:23" x14ac:dyDescent="0.3">
      <c r="G2305" s="69"/>
      <c r="H2305" s="69"/>
      <c r="I2305" s="69"/>
      <c r="J2305" s="69"/>
      <c r="K2305" s="69"/>
      <c r="L2305" s="69"/>
      <c r="M2305" s="69"/>
      <c r="N2305" s="69"/>
      <c r="O2305" s="69"/>
      <c r="P2305" s="69"/>
      <c r="Q2305" s="69"/>
      <c r="R2305" s="69"/>
      <c r="S2305" s="69"/>
      <c r="T2305" s="69"/>
      <c r="U2305" s="69"/>
      <c r="V2305" s="69"/>
      <c r="W2305" s="69"/>
    </row>
    <row r="2306" spans="7:23" x14ac:dyDescent="0.3">
      <c r="G2306" s="69"/>
      <c r="H2306" s="69"/>
      <c r="I2306" s="69"/>
      <c r="J2306" s="69"/>
      <c r="K2306" s="69"/>
      <c r="L2306" s="69"/>
      <c r="M2306" s="69"/>
      <c r="N2306" s="69"/>
      <c r="O2306" s="69"/>
      <c r="P2306" s="69"/>
      <c r="Q2306" s="69"/>
      <c r="R2306" s="69"/>
      <c r="S2306" s="69"/>
      <c r="T2306" s="69"/>
      <c r="U2306" s="69"/>
      <c r="V2306" s="69"/>
      <c r="W2306" s="69"/>
    </row>
    <row r="2307" spans="7:23" x14ac:dyDescent="0.3">
      <c r="G2307" s="69"/>
      <c r="H2307" s="69"/>
      <c r="I2307" s="69"/>
      <c r="J2307" s="69"/>
      <c r="K2307" s="69"/>
      <c r="L2307" s="69"/>
      <c r="M2307" s="69"/>
      <c r="N2307" s="69"/>
      <c r="O2307" s="69"/>
      <c r="P2307" s="69"/>
      <c r="Q2307" s="69"/>
      <c r="R2307" s="69"/>
      <c r="S2307" s="69"/>
      <c r="T2307" s="69"/>
      <c r="U2307" s="69"/>
      <c r="V2307" s="69"/>
      <c r="W2307" s="69"/>
    </row>
    <row r="2308" spans="7:23" x14ac:dyDescent="0.3">
      <c r="G2308" s="69"/>
      <c r="H2308" s="69"/>
      <c r="I2308" s="69"/>
      <c r="J2308" s="69"/>
      <c r="K2308" s="69"/>
      <c r="L2308" s="69"/>
      <c r="M2308" s="69"/>
      <c r="N2308" s="69"/>
      <c r="O2308" s="69"/>
      <c r="P2308" s="69"/>
      <c r="Q2308" s="69"/>
      <c r="R2308" s="69"/>
      <c r="S2308" s="69"/>
      <c r="T2308" s="69"/>
      <c r="U2308" s="69"/>
      <c r="V2308" s="69"/>
      <c r="W2308" s="69"/>
    </row>
    <row r="2309" spans="7:23" x14ac:dyDescent="0.3">
      <c r="G2309" s="69"/>
      <c r="H2309" s="69"/>
      <c r="I2309" s="69"/>
      <c r="J2309" s="69"/>
      <c r="K2309" s="69"/>
      <c r="L2309" s="69"/>
      <c r="M2309" s="69"/>
      <c r="N2309" s="69"/>
      <c r="O2309" s="69"/>
      <c r="P2309" s="69"/>
      <c r="Q2309" s="69"/>
      <c r="R2309" s="69"/>
      <c r="S2309" s="69"/>
      <c r="T2309" s="69"/>
      <c r="U2309" s="69"/>
      <c r="V2309" s="69"/>
      <c r="W2309" s="69"/>
    </row>
    <row r="2310" spans="7:23" x14ac:dyDescent="0.3">
      <c r="G2310" s="69"/>
      <c r="H2310" s="69"/>
      <c r="I2310" s="69"/>
      <c r="J2310" s="69"/>
      <c r="K2310" s="69"/>
      <c r="L2310" s="69"/>
      <c r="M2310" s="69"/>
      <c r="N2310" s="69"/>
      <c r="O2310" s="69"/>
      <c r="P2310" s="69"/>
      <c r="Q2310" s="69"/>
      <c r="R2310" s="69"/>
      <c r="S2310" s="69"/>
      <c r="T2310" s="69"/>
      <c r="U2310" s="69"/>
      <c r="V2310" s="69"/>
      <c r="W2310" s="69"/>
    </row>
    <row r="2311" spans="7:23" x14ac:dyDescent="0.3">
      <c r="G2311" s="69"/>
      <c r="H2311" s="69"/>
      <c r="I2311" s="69"/>
      <c r="J2311" s="69"/>
      <c r="K2311" s="69"/>
      <c r="L2311" s="69"/>
      <c r="M2311" s="69"/>
      <c r="N2311" s="69"/>
      <c r="O2311" s="69"/>
      <c r="P2311" s="69"/>
      <c r="Q2311" s="69"/>
      <c r="R2311" s="69"/>
      <c r="S2311" s="69"/>
      <c r="T2311" s="69"/>
      <c r="U2311" s="69"/>
      <c r="V2311" s="69"/>
      <c r="W2311" s="69"/>
    </row>
    <row r="2312" spans="7:23" x14ac:dyDescent="0.3">
      <c r="G2312" s="69"/>
      <c r="H2312" s="69"/>
      <c r="I2312" s="69"/>
      <c r="J2312" s="69"/>
      <c r="K2312" s="69"/>
      <c r="L2312" s="69"/>
      <c r="M2312" s="69"/>
      <c r="N2312" s="69"/>
      <c r="O2312" s="69"/>
      <c r="P2312" s="69"/>
      <c r="Q2312" s="69"/>
      <c r="R2312" s="69"/>
      <c r="S2312" s="69"/>
      <c r="T2312" s="69"/>
      <c r="U2312" s="69"/>
      <c r="V2312" s="69"/>
      <c r="W2312" s="69"/>
    </row>
    <row r="2313" spans="7:23" x14ac:dyDescent="0.3">
      <c r="G2313" s="69"/>
      <c r="H2313" s="69"/>
      <c r="I2313" s="69"/>
      <c r="J2313" s="69"/>
      <c r="K2313" s="69"/>
      <c r="L2313" s="69"/>
      <c r="M2313" s="69"/>
      <c r="N2313" s="69"/>
      <c r="O2313" s="69"/>
      <c r="P2313" s="69"/>
      <c r="Q2313" s="69"/>
      <c r="R2313" s="69"/>
      <c r="S2313" s="69"/>
      <c r="T2313" s="69"/>
      <c r="U2313" s="69"/>
      <c r="V2313" s="69"/>
      <c r="W2313" s="69"/>
    </row>
    <row r="2314" spans="7:23" x14ac:dyDescent="0.3">
      <c r="G2314" s="69"/>
      <c r="H2314" s="69"/>
      <c r="I2314" s="69"/>
      <c r="J2314" s="69"/>
      <c r="K2314" s="69"/>
      <c r="L2314" s="69"/>
      <c r="M2314" s="69"/>
      <c r="N2314" s="69"/>
      <c r="O2314" s="69"/>
      <c r="P2314" s="69"/>
      <c r="Q2314" s="69"/>
      <c r="R2314" s="69"/>
      <c r="S2314" s="69"/>
      <c r="T2314" s="69"/>
      <c r="U2314" s="69"/>
      <c r="V2314" s="69"/>
      <c r="W2314" s="69"/>
    </row>
    <row r="2315" spans="7:23" x14ac:dyDescent="0.3">
      <c r="G2315" s="69"/>
      <c r="H2315" s="69"/>
      <c r="I2315" s="69"/>
      <c r="J2315" s="69"/>
      <c r="K2315" s="69"/>
      <c r="L2315" s="69"/>
      <c r="M2315" s="69"/>
      <c r="N2315" s="69"/>
      <c r="O2315" s="69"/>
      <c r="P2315" s="69"/>
      <c r="Q2315" s="69"/>
      <c r="R2315" s="69"/>
      <c r="S2315" s="69"/>
      <c r="T2315" s="69"/>
      <c r="U2315" s="69"/>
      <c r="V2315" s="69"/>
      <c r="W2315" s="69"/>
    </row>
    <row r="2316" spans="7:23" x14ac:dyDescent="0.3">
      <c r="G2316" s="69"/>
      <c r="H2316" s="69"/>
      <c r="I2316" s="69"/>
      <c r="J2316" s="69"/>
      <c r="K2316" s="69"/>
      <c r="L2316" s="69"/>
      <c r="M2316" s="69"/>
      <c r="N2316" s="69"/>
      <c r="O2316" s="69"/>
      <c r="P2316" s="69"/>
      <c r="Q2316" s="69"/>
      <c r="R2316" s="69"/>
      <c r="S2316" s="69"/>
      <c r="T2316" s="69"/>
      <c r="U2316" s="69"/>
      <c r="V2316" s="69"/>
      <c r="W2316" s="69"/>
    </row>
    <row r="2317" spans="7:23" x14ac:dyDescent="0.3">
      <c r="G2317" s="69"/>
      <c r="H2317" s="69"/>
      <c r="I2317" s="69"/>
      <c r="J2317" s="69"/>
      <c r="K2317" s="69"/>
      <c r="L2317" s="69"/>
      <c r="M2317" s="69"/>
      <c r="N2317" s="69"/>
      <c r="O2317" s="69"/>
      <c r="P2317" s="69"/>
      <c r="Q2317" s="69"/>
      <c r="R2317" s="69"/>
      <c r="S2317" s="69"/>
      <c r="T2317" s="69"/>
      <c r="U2317" s="69"/>
      <c r="V2317" s="69"/>
      <c r="W2317" s="69"/>
    </row>
    <row r="2318" spans="7:23" x14ac:dyDescent="0.3">
      <c r="G2318" s="69"/>
      <c r="H2318" s="69"/>
      <c r="I2318" s="69"/>
      <c r="J2318" s="69"/>
      <c r="K2318" s="69"/>
      <c r="L2318" s="69"/>
      <c r="M2318" s="69"/>
      <c r="N2318" s="69"/>
      <c r="O2318" s="69"/>
      <c r="P2318" s="69"/>
      <c r="Q2318" s="69"/>
      <c r="R2318" s="69"/>
      <c r="S2318" s="69"/>
      <c r="T2318" s="69"/>
      <c r="U2318" s="69"/>
      <c r="V2318" s="69"/>
      <c r="W2318" s="69"/>
    </row>
    <row r="2319" spans="7:23" x14ac:dyDescent="0.3">
      <c r="G2319" s="69"/>
      <c r="H2319" s="69"/>
      <c r="I2319" s="69"/>
      <c r="J2319" s="69"/>
      <c r="K2319" s="69"/>
      <c r="L2319" s="69"/>
      <c r="M2319" s="69"/>
      <c r="N2319" s="69"/>
      <c r="O2319" s="69"/>
      <c r="P2319" s="69"/>
      <c r="Q2319" s="69"/>
      <c r="R2319" s="69"/>
      <c r="S2319" s="69"/>
      <c r="T2319" s="69"/>
      <c r="U2319" s="69"/>
      <c r="V2319" s="69"/>
      <c r="W2319" s="69"/>
    </row>
    <row r="2320" spans="7:23" x14ac:dyDescent="0.3">
      <c r="G2320" s="69"/>
      <c r="H2320" s="69"/>
      <c r="I2320" s="69"/>
      <c r="J2320" s="69"/>
      <c r="K2320" s="69"/>
      <c r="L2320" s="69"/>
      <c r="M2320" s="69"/>
      <c r="N2320" s="69"/>
      <c r="O2320" s="69"/>
      <c r="P2320" s="69"/>
      <c r="Q2320" s="69"/>
      <c r="R2320" s="69"/>
      <c r="S2320" s="69"/>
      <c r="T2320" s="69"/>
      <c r="U2320" s="69"/>
      <c r="V2320" s="69"/>
      <c r="W2320" s="69"/>
    </row>
    <row r="2321" spans="7:23" x14ac:dyDescent="0.3">
      <c r="G2321" s="69"/>
      <c r="H2321" s="69"/>
      <c r="I2321" s="69"/>
      <c r="J2321" s="69"/>
      <c r="K2321" s="69"/>
      <c r="L2321" s="69"/>
      <c r="M2321" s="69"/>
      <c r="N2321" s="69"/>
      <c r="O2321" s="69"/>
      <c r="P2321" s="69"/>
      <c r="Q2321" s="69"/>
      <c r="R2321" s="69"/>
      <c r="S2321" s="69"/>
      <c r="T2321" s="69"/>
      <c r="U2321" s="69"/>
      <c r="V2321" s="69"/>
      <c r="W2321" s="69"/>
    </row>
    <row r="2322" spans="7:23" x14ac:dyDescent="0.3">
      <c r="G2322" s="69"/>
      <c r="H2322" s="69"/>
      <c r="I2322" s="69"/>
      <c r="J2322" s="69"/>
      <c r="K2322" s="69"/>
      <c r="L2322" s="69"/>
      <c r="M2322" s="69"/>
      <c r="N2322" s="69"/>
      <c r="O2322" s="69"/>
      <c r="P2322" s="69"/>
      <c r="Q2322" s="69"/>
      <c r="R2322" s="69"/>
      <c r="S2322" s="69"/>
      <c r="T2322" s="69"/>
      <c r="U2322" s="69"/>
      <c r="V2322" s="69"/>
      <c r="W2322" s="69"/>
    </row>
    <row r="2323" spans="7:23" x14ac:dyDescent="0.3">
      <c r="G2323" s="69"/>
      <c r="H2323" s="69"/>
      <c r="I2323" s="69"/>
      <c r="J2323" s="69"/>
      <c r="K2323" s="69"/>
      <c r="L2323" s="69"/>
      <c r="M2323" s="69"/>
      <c r="N2323" s="69"/>
      <c r="O2323" s="69"/>
      <c r="P2323" s="69"/>
      <c r="Q2323" s="69"/>
      <c r="R2323" s="69"/>
      <c r="S2323" s="69"/>
      <c r="T2323" s="69"/>
      <c r="U2323" s="69"/>
      <c r="V2323" s="69"/>
      <c r="W2323" s="69"/>
    </row>
    <row r="2324" spans="7:23" x14ac:dyDescent="0.3">
      <c r="G2324" s="69"/>
      <c r="H2324" s="69"/>
      <c r="I2324" s="69"/>
      <c r="J2324" s="69"/>
      <c r="K2324" s="69"/>
      <c r="L2324" s="69"/>
      <c r="M2324" s="69"/>
      <c r="N2324" s="69"/>
      <c r="O2324" s="69"/>
      <c r="P2324" s="69"/>
      <c r="Q2324" s="69"/>
      <c r="R2324" s="69"/>
      <c r="S2324" s="69"/>
      <c r="T2324" s="69"/>
      <c r="U2324" s="69"/>
      <c r="V2324" s="69"/>
      <c r="W2324" s="69"/>
    </row>
    <row r="2325" spans="7:23" x14ac:dyDescent="0.3">
      <c r="G2325" s="69"/>
      <c r="H2325" s="69"/>
      <c r="I2325" s="69"/>
      <c r="J2325" s="69"/>
      <c r="K2325" s="69"/>
      <c r="L2325" s="69"/>
      <c r="M2325" s="69"/>
      <c r="N2325" s="69"/>
      <c r="O2325" s="69"/>
      <c r="P2325" s="69"/>
      <c r="Q2325" s="69"/>
      <c r="R2325" s="69"/>
      <c r="S2325" s="69"/>
      <c r="T2325" s="69"/>
      <c r="U2325" s="69"/>
      <c r="V2325" s="69"/>
      <c r="W2325" s="69"/>
    </row>
    <row r="2326" spans="7:23" x14ac:dyDescent="0.3">
      <c r="G2326" s="69"/>
      <c r="H2326" s="69"/>
      <c r="I2326" s="69"/>
      <c r="J2326" s="69"/>
      <c r="K2326" s="69"/>
      <c r="L2326" s="69"/>
      <c r="M2326" s="69"/>
      <c r="N2326" s="69"/>
      <c r="O2326" s="69"/>
      <c r="P2326" s="69"/>
      <c r="Q2326" s="69"/>
      <c r="R2326" s="69"/>
      <c r="S2326" s="69"/>
      <c r="T2326" s="69"/>
      <c r="U2326" s="69"/>
      <c r="V2326" s="69"/>
      <c r="W2326" s="69"/>
    </row>
    <row r="2327" spans="7:23" x14ac:dyDescent="0.3">
      <c r="G2327" s="69"/>
      <c r="H2327" s="69"/>
      <c r="I2327" s="69"/>
      <c r="J2327" s="69"/>
      <c r="K2327" s="69"/>
      <c r="L2327" s="69"/>
      <c r="M2327" s="69"/>
      <c r="N2327" s="69"/>
      <c r="O2327" s="69"/>
      <c r="P2327" s="69"/>
      <c r="Q2327" s="69"/>
      <c r="R2327" s="69"/>
      <c r="S2327" s="69"/>
      <c r="T2327" s="69"/>
      <c r="U2327" s="69"/>
      <c r="V2327" s="69"/>
      <c r="W2327" s="69"/>
    </row>
    <row r="2328" spans="7:23" x14ac:dyDescent="0.3">
      <c r="G2328" s="69"/>
      <c r="H2328" s="69"/>
      <c r="I2328" s="69"/>
      <c r="J2328" s="69"/>
      <c r="K2328" s="69"/>
      <c r="L2328" s="69"/>
      <c r="M2328" s="69"/>
      <c r="N2328" s="69"/>
      <c r="O2328" s="69"/>
      <c r="P2328" s="69"/>
      <c r="Q2328" s="69"/>
      <c r="R2328" s="69"/>
      <c r="S2328" s="69"/>
      <c r="T2328" s="69"/>
      <c r="U2328" s="69"/>
      <c r="V2328" s="69"/>
      <c r="W2328" s="69"/>
    </row>
    <row r="2329" spans="7:23" x14ac:dyDescent="0.3">
      <c r="G2329" s="69"/>
      <c r="H2329" s="69"/>
      <c r="I2329" s="69"/>
      <c r="J2329" s="69"/>
      <c r="K2329" s="69"/>
      <c r="L2329" s="69"/>
      <c r="M2329" s="69"/>
      <c r="N2329" s="69"/>
      <c r="O2329" s="69"/>
      <c r="P2329" s="69"/>
      <c r="Q2329" s="69"/>
      <c r="R2329" s="69"/>
      <c r="S2329" s="69"/>
      <c r="T2329" s="69"/>
      <c r="U2329" s="69"/>
      <c r="V2329" s="69"/>
      <c r="W2329" s="69"/>
    </row>
    <row r="2330" spans="7:23" x14ac:dyDescent="0.3">
      <c r="G2330" s="69"/>
      <c r="H2330" s="69"/>
      <c r="I2330" s="69"/>
      <c r="J2330" s="69"/>
      <c r="K2330" s="69"/>
      <c r="L2330" s="69"/>
      <c r="M2330" s="69"/>
      <c r="N2330" s="69"/>
      <c r="O2330" s="69"/>
      <c r="P2330" s="69"/>
      <c r="Q2330" s="69"/>
      <c r="R2330" s="69"/>
      <c r="S2330" s="69"/>
      <c r="T2330" s="69"/>
      <c r="U2330" s="69"/>
      <c r="V2330" s="69"/>
      <c r="W2330" s="69"/>
    </row>
    <row r="2331" spans="7:23" x14ac:dyDescent="0.3">
      <c r="G2331" s="69"/>
      <c r="H2331" s="69"/>
      <c r="I2331" s="69"/>
      <c r="J2331" s="69"/>
      <c r="K2331" s="69"/>
      <c r="L2331" s="69"/>
      <c r="M2331" s="69"/>
      <c r="N2331" s="69"/>
      <c r="O2331" s="69"/>
      <c r="P2331" s="69"/>
      <c r="Q2331" s="69"/>
      <c r="R2331" s="69"/>
      <c r="S2331" s="69"/>
      <c r="T2331" s="69"/>
      <c r="U2331" s="69"/>
      <c r="V2331" s="69"/>
      <c r="W2331" s="69"/>
    </row>
    <row r="2332" spans="7:23" x14ac:dyDescent="0.3">
      <c r="G2332" s="69"/>
      <c r="H2332" s="69"/>
      <c r="I2332" s="69"/>
      <c r="J2332" s="69"/>
      <c r="K2332" s="69"/>
      <c r="L2332" s="69"/>
      <c r="M2332" s="69"/>
      <c r="N2332" s="69"/>
      <c r="O2332" s="69"/>
      <c r="P2332" s="69"/>
      <c r="Q2332" s="69"/>
      <c r="R2332" s="69"/>
      <c r="S2332" s="69"/>
      <c r="T2332" s="69"/>
      <c r="U2332" s="69"/>
      <c r="V2332" s="69"/>
      <c r="W2332" s="69"/>
    </row>
    <row r="2333" spans="7:23" x14ac:dyDescent="0.3">
      <c r="G2333" s="69"/>
      <c r="H2333" s="69"/>
      <c r="I2333" s="69"/>
      <c r="J2333" s="69"/>
      <c r="K2333" s="69"/>
      <c r="L2333" s="69"/>
      <c r="M2333" s="69"/>
      <c r="N2333" s="69"/>
      <c r="O2333" s="69"/>
      <c r="P2333" s="69"/>
      <c r="Q2333" s="69"/>
      <c r="R2333" s="69"/>
      <c r="S2333" s="69"/>
      <c r="T2333" s="69"/>
      <c r="U2333" s="69"/>
      <c r="V2333" s="69"/>
      <c r="W2333" s="69"/>
    </row>
    <row r="2334" spans="7:23" x14ac:dyDescent="0.3">
      <c r="G2334" s="69"/>
      <c r="H2334" s="69"/>
      <c r="I2334" s="69"/>
      <c r="J2334" s="69"/>
      <c r="K2334" s="69"/>
      <c r="L2334" s="69"/>
      <c r="M2334" s="69"/>
      <c r="N2334" s="69"/>
      <c r="O2334" s="69"/>
      <c r="P2334" s="69"/>
      <c r="Q2334" s="69"/>
      <c r="R2334" s="69"/>
      <c r="S2334" s="69"/>
      <c r="T2334" s="69"/>
      <c r="U2334" s="69"/>
      <c r="V2334" s="69"/>
      <c r="W2334" s="69"/>
    </row>
    <row r="2335" spans="7:23" x14ac:dyDescent="0.3">
      <c r="G2335" s="69"/>
      <c r="H2335" s="69"/>
      <c r="I2335" s="69"/>
      <c r="J2335" s="69"/>
      <c r="K2335" s="69"/>
      <c r="L2335" s="69"/>
      <c r="M2335" s="69"/>
      <c r="N2335" s="69"/>
      <c r="O2335" s="69"/>
      <c r="P2335" s="69"/>
      <c r="Q2335" s="69"/>
      <c r="R2335" s="69"/>
      <c r="S2335" s="69"/>
      <c r="T2335" s="69"/>
      <c r="U2335" s="69"/>
      <c r="V2335" s="69"/>
      <c r="W2335" s="69"/>
    </row>
    <row r="2336" spans="7:23" x14ac:dyDescent="0.3">
      <c r="G2336" s="69"/>
      <c r="H2336" s="69"/>
      <c r="I2336" s="69"/>
      <c r="J2336" s="69"/>
      <c r="K2336" s="69"/>
      <c r="L2336" s="69"/>
      <c r="M2336" s="69"/>
      <c r="N2336" s="69"/>
      <c r="O2336" s="69"/>
      <c r="P2336" s="69"/>
      <c r="Q2336" s="69"/>
      <c r="R2336" s="69"/>
      <c r="S2336" s="69"/>
      <c r="T2336" s="69"/>
      <c r="U2336" s="69"/>
      <c r="V2336" s="69"/>
      <c r="W2336" s="69"/>
    </row>
    <row r="2337" spans="1:23" x14ac:dyDescent="0.3">
      <c r="G2337" s="69"/>
      <c r="H2337" s="69"/>
      <c r="I2337" s="69"/>
      <c r="J2337" s="69"/>
      <c r="K2337" s="69"/>
      <c r="L2337" s="69"/>
      <c r="M2337" s="69"/>
      <c r="N2337" s="69"/>
      <c r="O2337" s="69"/>
      <c r="P2337" s="69"/>
      <c r="Q2337" s="69"/>
      <c r="R2337" s="69"/>
      <c r="S2337" s="69"/>
      <c r="T2337" s="69"/>
      <c r="U2337" s="69"/>
      <c r="V2337" s="69"/>
      <c r="W2337" s="69"/>
    </row>
    <row r="2338" spans="1:23" x14ac:dyDescent="0.3">
      <c r="G2338" s="69"/>
      <c r="H2338" s="69"/>
      <c r="I2338" s="69"/>
      <c r="J2338" s="69"/>
      <c r="K2338" s="69"/>
      <c r="L2338" s="69"/>
      <c r="M2338" s="69"/>
      <c r="N2338" s="69"/>
      <c r="O2338" s="69"/>
      <c r="P2338" s="69"/>
      <c r="Q2338" s="69"/>
      <c r="R2338" s="69"/>
      <c r="S2338" s="69"/>
      <c r="T2338" s="69"/>
      <c r="U2338" s="69"/>
      <c r="V2338" s="69"/>
      <c r="W2338" s="69"/>
    </row>
    <row r="2339" spans="1:23" x14ac:dyDescent="0.3">
      <c r="G2339" s="69"/>
      <c r="H2339" s="69"/>
      <c r="I2339" s="69"/>
      <c r="J2339" s="69"/>
      <c r="K2339" s="69"/>
      <c r="L2339" s="69"/>
      <c r="M2339" s="69"/>
      <c r="N2339" s="69"/>
      <c r="O2339" s="69"/>
      <c r="P2339" s="69"/>
      <c r="Q2339" s="69"/>
      <c r="R2339" s="69"/>
      <c r="S2339" s="69"/>
      <c r="T2339" s="69"/>
      <c r="U2339" s="69"/>
      <c r="V2339" s="69"/>
      <c r="W2339" s="69"/>
    </row>
    <row r="2340" spans="1:23" ht="21" x14ac:dyDescent="0.4">
      <c r="A2340" s="48"/>
      <c r="G2340" s="69"/>
      <c r="H2340" s="69"/>
      <c r="I2340" s="69"/>
      <c r="J2340" s="69"/>
      <c r="K2340" s="69"/>
      <c r="L2340" s="69"/>
      <c r="M2340" s="69"/>
      <c r="N2340" s="69"/>
      <c r="O2340" s="69"/>
      <c r="P2340" s="69"/>
      <c r="Q2340" s="69"/>
      <c r="R2340" s="69"/>
      <c r="S2340" s="69"/>
      <c r="T2340" s="69"/>
      <c r="U2340" s="69"/>
      <c r="V2340" s="69"/>
      <c r="W2340" s="69"/>
    </row>
    <row r="2341" spans="1:23" x14ac:dyDescent="0.3">
      <c r="G2341" s="69"/>
      <c r="H2341" s="69"/>
      <c r="I2341" s="69"/>
      <c r="J2341" s="69"/>
      <c r="K2341" s="69"/>
      <c r="L2341" s="69"/>
      <c r="M2341" s="69"/>
      <c r="N2341" s="69"/>
      <c r="O2341" s="69"/>
      <c r="P2341" s="69"/>
      <c r="Q2341" s="69"/>
      <c r="R2341" s="69"/>
      <c r="S2341" s="69"/>
      <c r="T2341" s="69"/>
      <c r="U2341" s="69"/>
      <c r="V2341" s="69"/>
      <c r="W2341" s="69"/>
    </row>
    <row r="2342" spans="1:23" x14ac:dyDescent="0.3">
      <c r="G2342" s="69"/>
      <c r="H2342" s="69"/>
      <c r="I2342" s="69"/>
      <c r="J2342" s="69"/>
      <c r="K2342" s="69"/>
      <c r="L2342" s="69"/>
      <c r="M2342" s="69"/>
      <c r="N2342" s="69"/>
      <c r="O2342" s="69"/>
      <c r="P2342" s="69"/>
      <c r="Q2342" s="69"/>
      <c r="R2342" s="69"/>
      <c r="S2342" s="69"/>
      <c r="T2342" s="69"/>
      <c r="U2342" s="69"/>
      <c r="V2342" s="69"/>
      <c r="W2342" s="69"/>
    </row>
    <row r="2343" spans="1:23" x14ac:dyDescent="0.3">
      <c r="G2343" s="69"/>
      <c r="H2343" s="69"/>
      <c r="I2343" s="69"/>
      <c r="J2343" s="69"/>
      <c r="K2343" s="69"/>
      <c r="L2343" s="69"/>
      <c r="M2343" s="69"/>
      <c r="N2343" s="69"/>
      <c r="O2343" s="69"/>
      <c r="P2343" s="69"/>
      <c r="Q2343" s="69"/>
      <c r="R2343" s="69"/>
      <c r="S2343" s="69"/>
      <c r="T2343" s="69"/>
      <c r="U2343" s="69"/>
      <c r="V2343" s="69"/>
      <c r="W2343" s="69"/>
    </row>
    <row r="2344" spans="1:23" x14ac:dyDescent="0.3">
      <c r="G2344" s="69"/>
      <c r="H2344" s="69"/>
      <c r="I2344" s="69"/>
      <c r="J2344" s="69"/>
      <c r="K2344" s="69"/>
      <c r="L2344" s="69"/>
      <c r="M2344" s="69"/>
      <c r="N2344" s="69"/>
      <c r="O2344" s="69"/>
      <c r="P2344" s="69"/>
      <c r="Q2344" s="69"/>
      <c r="R2344" s="69"/>
      <c r="S2344" s="69"/>
      <c r="T2344" s="69"/>
      <c r="U2344" s="69"/>
      <c r="V2344" s="69"/>
      <c r="W2344" s="69"/>
    </row>
    <row r="2345" spans="1:23" x14ac:dyDescent="0.3">
      <c r="G2345" s="69"/>
      <c r="H2345" s="69"/>
      <c r="I2345" s="69"/>
      <c r="J2345" s="69"/>
      <c r="K2345" s="69"/>
      <c r="L2345" s="69"/>
      <c r="M2345" s="69"/>
      <c r="N2345" s="69"/>
      <c r="O2345" s="69"/>
      <c r="P2345" s="69"/>
      <c r="Q2345" s="69"/>
      <c r="R2345" s="69"/>
      <c r="S2345" s="69"/>
      <c r="T2345" s="69"/>
      <c r="U2345" s="69"/>
      <c r="V2345" s="69"/>
      <c r="W2345" s="69"/>
    </row>
    <row r="2346" spans="1:23" x14ac:dyDescent="0.3">
      <c r="G2346" s="69"/>
      <c r="H2346" s="69"/>
      <c r="I2346" s="69"/>
      <c r="J2346" s="69"/>
      <c r="K2346" s="69"/>
      <c r="L2346" s="69"/>
      <c r="M2346" s="69"/>
      <c r="N2346" s="69"/>
      <c r="O2346" s="69"/>
      <c r="P2346" s="69"/>
      <c r="Q2346" s="69"/>
      <c r="R2346" s="69"/>
      <c r="S2346" s="69"/>
      <c r="T2346" s="69"/>
      <c r="U2346" s="69"/>
      <c r="V2346" s="69"/>
      <c r="W2346" s="69"/>
    </row>
    <row r="2347" spans="1:23" x14ac:dyDescent="0.3">
      <c r="G2347" s="69"/>
      <c r="H2347" s="69"/>
      <c r="I2347" s="69"/>
      <c r="J2347" s="69"/>
      <c r="K2347" s="69"/>
      <c r="L2347" s="69"/>
      <c r="M2347" s="69"/>
      <c r="N2347" s="69"/>
      <c r="O2347" s="69"/>
      <c r="P2347" s="69"/>
      <c r="Q2347" s="69"/>
      <c r="R2347" s="69"/>
      <c r="S2347" s="69"/>
      <c r="T2347" s="69"/>
      <c r="U2347" s="69"/>
      <c r="V2347" s="69"/>
      <c r="W2347" s="69"/>
    </row>
    <row r="2348" spans="1:23" x14ac:dyDescent="0.3">
      <c r="G2348" s="69"/>
      <c r="H2348" s="69"/>
      <c r="I2348" s="69"/>
      <c r="J2348" s="69"/>
      <c r="K2348" s="69"/>
      <c r="L2348" s="69"/>
      <c r="M2348" s="69"/>
      <c r="N2348" s="69"/>
      <c r="O2348" s="69"/>
      <c r="P2348" s="69"/>
      <c r="Q2348" s="69"/>
      <c r="R2348" s="69"/>
      <c r="S2348" s="69"/>
      <c r="T2348" s="69"/>
      <c r="U2348" s="69"/>
      <c r="V2348" s="69"/>
      <c r="W2348" s="69"/>
    </row>
    <row r="2349" spans="1:23" x14ac:dyDescent="0.3">
      <c r="G2349" s="69"/>
      <c r="H2349" s="69"/>
      <c r="I2349" s="69"/>
      <c r="J2349" s="69"/>
      <c r="K2349" s="69"/>
      <c r="L2349" s="69"/>
      <c r="M2349" s="69"/>
      <c r="N2349" s="69"/>
      <c r="O2349" s="69"/>
      <c r="P2349" s="69"/>
      <c r="Q2349" s="69"/>
      <c r="R2349" s="69"/>
      <c r="S2349" s="69"/>
      <c r="T2349" s="69"/>
      <c r="U2349" s="69"/>
      <c r="V2349" s="69"/>
      <c r="W2349" s="69"/>
    </row>
    <row r="2350" spans="1:23" x14ac:dyDescent="0.3">
      <c r="G2350" s="69"/>
      <c r="H2350" s="69"/>
      <c r="I2350" s="69"/>
      <c r="J2350" s="69"/>
      <c r="K2350" s="69"/>
      <c r="L2350" s="69"/>
      <c r="M2350" s="69"/>
      <c r="N2350" s="69"/>
      <c r="O2350" s="69"/>
      <c r="P2350" s="69"/>
      <c r="Q2350" s="69"/>
      <c r="R2350" s="69"/>
      <c r="S2350" s="69"/>
      <c r="T2350" s="69"/>
      <c r="U2350" s="69"/>
      <c r="V2350" s="69"/>
      <c r="W2350" s="69"/>
    </row>
    <row r="2351" spans="1:23" x14ac:dyDescent="0.3">
      <c r="G2351" s="69"/>
      <c r="H2351" s="69"/>
      <c r="I2351" s="69"/>
      <c r="J2351" s="69"/>
      <c r="K2351" s="69"/>
      <c r="L2351" s="69"/>
      <c r="M2351" s="69"/>
      <c r="N2351" s="69"/>
      <c r="O2351" s="69"/>
      <c r="P2351" s="69"/>
      <c r="Q2351" s="69"/>
      <c r="R2351" s="69"/>
      <c r="S2351" s="69"/>
      <c r="T2351" s="69"/>
      <c r="U2351" s="69"/>
      <c r="V2351" s="69"/>
      <c r="W2351" s="69"/>
    </row>
    <row r="2352" spans="1:23" x14ac:dyDescent="0.3">
      <c r="G2352" s="69"/>
      <c r="H2352" s="69"/>
      <c r="I2352" s="69"/>
      <c r="J2352" s="69"/>
      <c r="K2352" s="69"/>
      <c r="L2352" s="69"/>
      <c r="M2352" s="69"/>
      <c r="N2352" s="69"/>
      <c r="O2352" s="69"/>
      <c r="P2352" s="69"/>
      <c r="Q2352" s="69"/>
      <c r="R2352" s="69"/>
      <c r="S2352" s="69"/>
      <c r="T2352" s="69"/>
      <c r="U2352" s="69"/>
      <c r="V2352" s="69"/>
      <c r="W2352" s="69"/>
    </row>
    <row r="2353" spans="7:23" x14ac:dyDescent="0.3">
      <c r="G2353" s="69"/>
      <c r="H2353" s="69"/>
      <c r="I2353" s="69"/>
      <c r="J2353" s="69"/>
      <c r="K2353" s="69"/>
      <c r="L2353" s="69"/>
      <c r="M2353" s="69"/>
      <c r="N2353" s="69"/>
      <c r="O2353" s="69"/>
      <c r="P2353" s="69"/>
      <c r="Q2353" s="69"/>
      <c r="R2353" s="69"/>
      <c r="S2353" s="69"/>
      <c r="T2353" s="69"/>
      <c r="U2353" s="69"/>
      <c r="V2353" s="69"/>
      <c r="W2353" s="69"/>
    </row>
    <row r="2354" spans="7:23" x14ac:dyDescent="0.3">
      <c r="G2354" s="69"/>
      <c r="H2354" s="69"/>
      <c r="I2354" s="69"/>
      <c r="J2354" s="69"/>
      <c r="K2354" s="69"/>
      <c r="L2354" s="69"/>
      <c r="M2354" s="69"/>
      <c r="N2354" s="69"/>
      <c r="O2354" s="69"/>
      <c r="P2354" s="69"/>
      <c r="Q2354" s="69"/>
      <c r="R2354" s="69"/>
      <c r="S2354" s="69"/>
      <c r="T2354" s="69"/>
      <c r="U2354" s="69"/>
      <c r="V2354" s="69"/>
      <c r="W2354" s="69"/>
    </row>
    <row r="2355" spans="7:23" x14ac:dyDescent="0.3">
      <c r="G2355" s="69"/>
      <c r="H2355" s="69"/>
      <c r="I2355" s="69"/>
      <c r="J2355" s="69"/>
      <c r="K2355" s="69"/>
      <c r="L2355" s="69"/>
      <c r="M2355" s="69"/>
      <c r="N2355" s="69"/>
      <c r="O2355" s="69"/>
      <c r="P2355" s="69"/>
      <c r="Q2355" s="69"/>
      <c r="R2355" s="69"/>
      <c r="S2355" s="69"/>
      <c r="T2355" s="69"/>
      <c r="U2355" s="69"/>
      <c r="V2355" s="69"/>
      <c r="W2355" s="69"/>
    </row>
    <row r="2356" spans="7:23" x14ac:dyDescent="0.3">
      <c r="G2356" s="69"/>
      <c r="H2356" s="69"/>
      <c r="I2356" s="69"/>
      <c r="J2356" s="69"/>
      <c r="K2356" s="69"/>
      <c r="L2356" s="69"/>
      <c r="M2356" s="69"/>
      <c r="N2356" s="69"/>
      <c r="O2356" s="69"/>
      <c r="P2356" s="69"/>
      <c r="Q2356" s="69"/>
      <c r="R2356" s="69"/>
      <c r="S2356" s="69"/>
      <c r="T2356" s="69"/>
      <c r="U2356" s="69"/>
      <c r="V2356" s="69"/>
      <c r="W2356" s="69"/>
    </row>
    <row r="2357" spans="7:23" x14ac:dyDescent="0.3">
      <c r="G2357" s="69"/>
      <c r="H2357" s="69"/>
      <c r="I2357" s="69"/>
      <c r="J2357" s="69"/>
      <c r="K2357" s="69"/>
      <c r="L2357" s="69"/>
      <c r="M2357" s="69"/>
      <c r="N2357" s="69"/>
      <c r="O2357" s="69"/>
      <c r="P2357" s="69"/>
      <c r="Q2357" s="69"/>
      <c r="R2357" s="69"/>
      <c r="S2357" s="69"/>
      <c r="T2357" s="69"/>
      <c r="U2357" s="69"/>
      <c r="V2357" s="69"/>
      <c r="W2357" s="69"/>
    </row>
    <row r="2358" spans="7:23" x14ac:dyDescent="0.3">
      <c r="G2358" s="69"/>
      <c r="H2358" s="69"/>
      <c r="I2358" s="69"/>
      <c r="J2358" s="69"/>
      <c r="K2358" s="69"/>
      <c r="L2358" s="69"/>
      <c r="M2358" s="69"/>
      <c r="N2358" s="69"/>
      <c r="O2358" s="69"/>
      <c r="P2358" s="69"/>
      <c r="Q2358" s="69"/>
      <c r="R2358" s="69"/>
      <c r="S2358" s="69"/>
      <c r="T2358" s="69"/>
      <c r="U2358" s="69"/>
      <c r="V2358" s="69"/>
      <c r="W2358" s="69"/>
    </row>
    <row r="2359" spans="7:23" x14ac:dyDescent="0.3">
      <c r="G2359" s="69"/>
      <c r="H2359" s="69"/>
      <c r="I2359" s="69"/>
      <c r="J2359" s="69"/>
      <c r="K2359" s="69"/>
      <c r="L2359" s="69"/>
      <c r="M2359" s="69"/>
      <c r="N2359" s="69"/>
      <c r="O2359" s="69"/>
      <c r="P2359" s="69"/>
      <c r="Q2359" s="69"/>
      <c r="R2359" s="69"/>
      <c r="S2359" s="69"/>
      <c r="T2359" s="69"/>
      <c r="U2359" s="69"/>
      <c r="V2359" s="69"/>
      <c r="W2359" s="69"/>
    </row>
    <row r="2360" spans="7:23" x14ac:dyDescent="0.3">
      <c r="G2360" s="69"/>
      <c r="H2360" s="69"/>
      <c r="I2360" s="69"/>
      <c r="J2360" s="69"/>
      <c r="K2360" s="69"/>
      <c r="L2360" s="69"/>
      <c r="M2360" s="69"/>
      <c r="N2360" s="69"/>
      <c r="O2360" s="69"/>
      <c r="P2360" s="69"/>
      <c r="Q2360" s="69"/>
      <c r="R2360" s="69"/>
      <c r="S2360" s="69"/>
      <c r="T2360" s="69"/>
      <c r="U2360" s="69"/>
      <c r="V2360" s="69"/>
      <c r="W2360" s="69"/>
    </row>
    <row r="2361" spans="7:23" x14ac:dyDescent="0.3">
      <c r="G2361" s="69"/>
      <c r="H2361" s="69"/>
      <c r="I2361" s="69"/>
      <c r="J2361" s="69"/>
      <c r="K2361" s="69"/>
      <c r="L2361" s="69"/>
      <c r="M2361" s="69"/>
      <c r="N2361" s="69"/>
      <c r="O2361" s="69"/>
      <c r="P2361" s="69"/>
      <c r="Q2361" s="69"/>
      <c r="R2361" s="69"/>
      <c r="S2361" s="69"/>
      <c r="T2361" s="69"/>
      <c r="U2361" s="69"/>
      <c r="V2361" s="69"/>
      <c r="W2361" s="69"/>
    </row>
    <row r="2362" spans="7:23" x14ac:dyDescent="0.3">
      <c r="G2362" s="69"/>
      <c r="H2362" s="69"/>
      <c r="I2362" s="69"/>
      <c r="J2362" s="69"/>
      <c r="K2362" s="69"/>
      <c r="L2362" s="69"/>
      <c r="M2362" s="69"/>
      <c r="N2362" s="69"/>
      <c r="O2362" s="69"/>
      <c r="P2362" s="69"/>
      <c r="Q2362" s="69"/>
      <c r="R2362" s="69"/>
      <c r="S2362" s="69"/>
      <c r="T2362" s="69"/>
      <c r="U2362" s="69"/>
      <c r="V2362" s="69"/>
      <c r="W2362" s="69"/>
    </row>
    <row r="2363" spans="7:23" x14ac:dyDescent="0.3">
      <c r="G2363" s="69"/>
      <c r="H2363" s="69"/>
      <c r="I2363" s="69"/>
      <c r="J2363" s="69"/>
      <c r="K2363" s="69"/>
      <c r="L2363" s="69"/>
      <c r="M2363" s="69"/>
      <c r="N2363" s="69"/>
      <c r="O2363" s="69"/>
      <c r="P2363" s="69"/>
      <c r="Q2363" s="69"/>
      <c r="R2363" s="69"/>
      <c r="S2363" s="69"/>
      <c r="T2363" s="69"/>
      <c r="U2363" s="69"/>
      <c r="V2363" s="69"/>
      <c r="W2363" s="69"/>
    </row>
    <row r="2364" spans="7:23" x14ac:dyDescent="0.3">
      <c r="G2364" s="69"/>
      <c r="H2364" s="69"/>
      <c r="I2364" s="69"/>
      <c r="J2364" s="69"/>
      <c r="K2364" s="69"/>
      <c r="L2364" s="69"/>
      <c r="M2364" s="69"/>
      <c r="N2364" s="69"/>
      <c r="O2364" s="69"/>
      <c r="P2364" s="69"/>
      <c r="Q2364" s="69"/>
      <c r="R2364" s="69"/>
      <c r="S2364" s="69"/>
      <c r="T2364" s="69"/>
      <c r="U2364" s="69"/>
      <c r="V2364" s="69"/>
      <c r="W2364" s="69"/>
    </row>
    <row r="2365" spans="7:23" x14ac:dyDescent="0.3">
      <c r="G2365" s="69"/>
      <c r="H2365" s="69"/>
      <c r="I2365" s="69"/>
      <c r="J2365" s="69"/>
      <c r="K2365" s="69"/>
      <c r="L2365" s="69"/>
      <c r="M2365" s="69"/>
      <c r="N2365" s="69"/>
      <c r="O2365" s="69"/>
      <c r="P2365" s="69"/>
      <c r="Q2365" s="69"/>
      <c r="R2365" s="69"/>
      <c r="S2365" s="69"/>
      <c r="T2365" s="69"/>
      <c r="U2365" s="69"/>
      <c r="V2365" s="69"/>
      <c r="W2365" s="69"/>
    </row>
    <row r="2366" spans="7:23" x14ac:dyDescent="0.3">
      <c r="G2366" s="69"/>
      <c r="H2366" s="69"/>
      <c r="I2366" s="69"/>
      <c r="J2366" s="69"/>
      <c r="K2366" s="69"/>
      <c r="L2366" s="69"/>
      <c r="M2366" s="69"/>
      <c r="N2366" s="69"/>
      <c r="O2366" s="69"/>
      <c r="P2366" s="69"/>
      <c r="Q2366" s="69"/>
      <c r="R2366" s="69"/>
      <c r="S2366" s="69"/>
      <c r="T2366" s="69"/>
      <c r="U2366" s="69"/>
      <c r="V2366" s="69"/>
      <c r="W2366" s="69"/>
    </row>
    <row r="2367" spans="7:23" x14ac:dyDescent="0.3">
      <c r="G2367" s="69"/>
      <c r="H2367" s="69"/>
      <c r="I2367" s="69"/>
      <c r="J2367" s="69"/>
      <c r="K2367" s="69"/>
      <c r="L2367" s="69"/>
      <c r="M2367" s="69"/>
      <c r="N2367" s="69"/>
      <c r="O2367" s="69"/>
      <c r="P2367" s="69"/>
      <c r="Q2367" s="69"/>
      <c r="R2367" s="69"/>
      <c r="S2367" s="69"/>
      <c r="T2367" s="69"/>
      <c r="U2367" s="69"/>
      <c r="V2367" s="69"/>
      <c r="W2367" s="69"/>
    </row>
    <row r="2368" spans="7:23" x14ac:dyDescent="0.3">
      <c r="G2368" s="69"/>
      <c r="H2368" s="69"/>
      <c r="I2368" s="69"/>
      <c r="J2368" s="69"/>
      <c r="K2368" s="69"/>
      <c r="L2368" s="69"/>
      <c r="M2368" s="69"/>
      <c r="N2368" s="69"/>
      <c r="O2368" s="69"/>
      <c r="P2368" s="69"/>
      <c r="Q2368" s="69"/>
      <c r="R2368" s="69"/>
      <c r="S2368" s="69"/>
      <c r="T2368" s="69"/>
      <c r="U2368" s="69"/>
      <c r="V2368" s="69"/>
      <c r="W2368" s="69"/>
    </row>
    <row r="2369" spans="7:23" x14ac:dyDescent="0.3">
      <c r="G2369" s="69"/>
      <c r="H2369" s="69"/>
      <c r="I2369" s="69"/>
      <c r="J2369" s="69"/>
      <c r="K2369" s="69"/>
      <c r="L2369" s="69"/>
      <c r="M2369" s="69"/>
      <c r="N2369" s="69"/>
      <c r="O2369" s="69"/>
      <c r="P2369" s="69"/>
      <c r="Q2369" s="69"/>
      <c r="R2369" s="69"/>
      <c r="S2369" s="69"/>
      <c r="T2369" s="69"/>
      <c r="U2369" s="69"/>
      <c r="V2369" s="69"/>
      <c r="W2369" s="69"/>
    </row>
    <row r="2370" spans="7:23" x14ac:dyDescent="0.3">
      <c r="G2370" s="69"/>
      <c r="H2370" s="69"/>
      <c r="I2370" s="69"/>
      <c r="J2370" s="69"/>
      <c r="K2370" s="69"/>
      <c r="L2370" s="69"/>
      <c r="M2370" s="69"/>
      <c r="N2370" s="69"/>
      <c r="O2370" s="69"/>
      <c r="P2370" s="69"/>
      <c r="Q2370" s="69"/>
      <c r="R2370" s="69"/>
      <c r="S2370" s="69"/>
      <c r="T2370" s="69"/>
      <c r="U2370" s="69"/>
      <c r="V2370" s="69"/>
      <c r="W2370" s="69"/>
    </row>
    <row r="2371" spans="7:23" x14ac:dyDescent="0.3">
      <c r="G2371" s="69"/>
      <c r="H2371" s="69"/>
      <c r="I2371" s="69"/>
      <c r="J2371" s="69"/>
      <c r="K2371" s="69"/>
      <c r="L2371" s="69"/>
      <c r="M2371" s="69"/>
      <c r="N2371" s="69"/>
      <c r="O2371" s="69"/>
      <c r="P2371" s="69"/>
      <c r="Q2371" s="69"/>
      <c r="R2371" s="69"/>
      <c r="S2371" s="69"/>
      <c r="T2371" s="69"/>
      <c r="U2371" s="69"/>
      <c r="V2371" s="69"/>
      <c r="W2371" s="69"/>
    </row>
    <row r="2372" spans="7:23" x14ac:dyDescent="0.3">
      <c r="G2372" s="69"/>
      <c r="H2372" s="69"/>
      <c r="I2372" s="69"/>
      <c r="J2372" s="69"/>
      <c r="K2372" s="69"/>
      <c r="L2372" s="69"/>
      <c r="M2372" s="69"/>
      <c r="N2372" s="69"/>
      <c r="O2372" s="69"/>
      <c r="P2372" s="69"/>
      <c r="Q2372" s="69"/>
      <c r="R2372" s="69"/>
      <c r="S2372" s="69"/>
      <c r="T2372" s="69"/>
      <c r="U2372" s="69"/>
      <c r="V2372" s="69"/>
      <c r="W2372" s="69"/>
    </row>
    <row r="2373" spans="7:23" x14ac:dyDescent="0.3">
      <c r="G2373" s="69"/>
      <c r="H2373" s="69"/>
      <c r="I2373" s="69"/>
      <c r="J2373" s="69"/>
      <c r="K2373" s="69"/>
      <c r="L2373" s="69"/>
      <c r="M2373" s="69"/>
      <c r="N2373" s="69"/>
      <c r="O2373" s="69"/>
      <c r="P2373" s="69"/>
      <c r="Q2373" s="69"/>
      <c r="R2373" s="69"/>
      <c r="S2373" s="69"/>
      <c r="T2373" s="69"/>
      <c r="U2373" s="69"/>
      <c r="V2373" s="69"/>
      <c r="W2373" s="69"/>
    </row>
    <row r="2374" spans="7:23" x14ac:dyDescent="0.3">
      <c r="G2374" s="69"/>
      <c r="H2374" s="69"/>
      <c r="I2374" s="69"/>
      <c r="J2374" s="69"/>
      <c r="K2374" s="69"/>
      <c r="L2374" s="69"/>
      <c r="M2374" s="69"/>
      <c r="N2374" s="69"/>
      <c r="O2374" s="69"/>
      <c r="P2374" s="69"/>
      <c r="Q2374" s="69"/>
      <c r="R2374" s="69"/>
      <c r="S2374" s="69"/>
      <c r="T2374" s="69"/>
      <c r="U2374" s="69"/>
      <c r="V2374" s="69"/>
      <c r="W2374" s="69"/>
    </row>
    <row r="2375" spans="7:23" x14ac:dyDescent="0.3">
      <c r="G2375" s="69"/>
      <c r="H2375" s="69"/>
      <c r="I2375" s="69"/>
      <c r="J2375" s="69"/>
      <c r="K2375" s="69"/>
      <c r="L2375" s="69"/>
      <c r="M2375" s="69"/>
      <c r="N2375" s="69"/>
      <c r="O2375" s="69"/>
      <c r="P2375" s="69"/>
      <c r="Q2375" s="69"/>
      <c r="R2375" s="69"/>
      <c r="S2375" s="69"/>
      <c r="T2375" s="69"/>
      <c r="U2375" s="69"/>
      <c r="V2375" s="69"/>
      <c r="W2375" s="69"/>
    </row>
    <row r="2376" spans="7:23" x14ac:dyDescent="0.3">
      <c r="G2376" s="69"/>
      <c r="H2376" s="69"/>
      <c r="I2376" s="69"/>
      <c r="J2376" s="69"/>
      <c r="K2376" s="69"/>
      <c r="L2376" s="69"/>
      <c r="M2376" s="69"/>
      <c r="N2376" s="69"/>
      <c r="O2376" s="69"/>
      <c r="P2376" s="69"/>
      <c r="Q2376" s="69"/>
      <c r="R2376" s="69"/>
      <c r="S2376" s="69"/>
      <c r="T2376" s="69"/>
      <c r="U2376" s="69"/>
      <c r="V2376" s="69"/>
      <c r="W2376" s="69"/>
    </row>
    <row r="2377" spans="7:23" x14ac:dyDescent="0.3">
      <c r="G2377" s="69"/>
      <c r="H2377" s="69"/>
      <c r="I2377" s="69"/>
      <c r="J2377" s="69"/>
      <c r="K2377" s="69"/>
      <c r="L2377" s="69"/>
      <c r="M2377" s="69"/>
      <c r="N2377" s="69"/>
      <c r="O2377" s="69"/>
      <c r="P2377" s="69"/>
      <c r="Q2377" s="69"/>
      <c r="R2377" s="69"/>
      <c r="S2377" s="69"/>
      <c r="T2377" s="69"/>
      <c r="U2377" s="69"/>
      <c r="V2377" s="69"/>
      <c r="W2377" s="69"/>
    </row>
    <row r="2378" spans="7:23" x14ac:dyDescent="0.3">
      <c r="G2378" s="69"/>
      <c r="H2378" s="69"/>
      <c r="I2378" s="69"/>
      <c r="J2378" s="69"/>
      <c r="K2378" s="69"/>
      <c r="L2378" s="69"/>
      <c r="M2378" s="69"/>
      <c r="N2378" s="69"/>
      <c r="O2378" s="69"/>
      <c r="P2378" s="69"/>
      <c r="Q2378" s="69"/>
      <c r="R2378" s="69"/>
      <c r="S2378" s="69"/>
      <c r="T2378" s="69"/>
      <c r="U2378" s="69"/>
      <c r="V2378" s="69"/>
      <c r="W2378" s="69"/>
    </row>
    <row r="2379" spans="7:23" x14ac:dyDescent="0.3">
      <c r="G2379" s="69"/>
      <c r="H2379" s="69"/>
      <c r="I2379" s="69"/>
      <c r="J2379" s="69"/>
      <c r="K2379" s="69"/>
      <c r="L2379" s="69"/>
      <c r="M2379" s="69"/>
      <c r="N2379" s="69"/>
      <c r="O2379" s="69"/>
      <c r="P2379" s="69"/>
      <c r="Q2379" s="69"/>
      <c r="R2379" s="69"/>
      <c r="S2379" s="69"/>
      <c r="T2379" s="69"/>
      <c r="U2379" s="69"/>
      <c r="V2379" s="69"/>
      <c r="W2379" s="69"/>
    </row>
    <row r="2380" spans="7:23" x14ac:dyDescent="0.3">
      <c r="G2380" s="69"/>
      <c r="H2380" s="69"/>
      <c r="I2380" s="69"/>
      <c r="J2380" s="69"/>
      <c r="K2380" s="69"/>
      <c r="L2380" s="69"/>
      <c r="M2380" s="69"/>
      <c r="N2380" s="69"/>
      <c r="O2380" s="69"/>
      <c r="P2380" s="69"/>
      <c r="Q2380" s="69"/>
      <c r="R2380" s="69"/>
      <c r="S2380" s="69"/>
      <c r="T2380" s="69"/>
      <c r="U2380" s="69"/>
      <c r="V2380" s="69"/>
      <c r="W2380" s="69"/>
    </row>
    <row r="2381" spans="7:23" x14ac:dyDescent="0.3">
      <c r="G2381" s="69"/>
      <c r="H2381" s="69"/>
      <c r="I2381" s="69"/>
      <c r="J2381" s="69"/>
      <c r="K2381" s="69"/>
      <c r="L2381" s="69"/>
      <c r="M2381" s="69"/>
      <c r="N2381" s="69"/>
      <c r="O2381" s="69"/>
      <c r="P2381" s="69"/>
      <c r="Q2381" s="69"/>
      <c r="R2381" s="69"/>
      <c r="S2381" s="69"/>
      <c r="T2381" s="69"/>
      <c r="U2381" s="69"/>
      <c r="V2381" s="69"/>
      <c r="W2381" s="69"/>
    </row>
    <row r="2382" spans="7:23" x14ac:dyDescent="0.3">
      <c r="G2382" s="69"/>
      <c r="H2382" s="69"/>
      <c r="I2382" s="69"/>
      <c r="J2382" s="69"/>
      <c r="K2382" s="69"/>
      <c r="L2382" s="69"/>
      <c r="M2382" s="69"/>
      <c r="N2382" s="69"/>
      <c r="O2382" s="69"/>
      <c r="P2382" s="69"/>
      <c r="Q2382" s="69"/>
      <c r="R2382" s="69"/>
      <c r="S2382" s="69"/>
      <c r="T2382" s="69"/>
      <c r="U2382" s="69"/>
      <c r="V2382" s="69"/>
      <c r="W2382" s="69"/>
    </row>
    <row r="2383" spans="7:23" x14ac:dyDescent="0.3">
      <c r="G2383" s="69"/>
      <c r="H2383" s="69"/>
      <c r="I2383" s="69"/>
      <c r="J2383" s="69"/>
      <c r="K2383" s="69"/>
      <c r="L2383" s="69"/>
      <c r="M2383" s="69"/>
      <c r="N2383" s="69"/>
      <c r="O2383" s="69"/>
      <c r="P2383" s="69"/>
      <c r="Q2383" s="69"/>
      <c r="R2383" s="69"/>
      <c r="S2383" s="69"/>
      <c r="T2383" s="69"/>
      <c r="U2383" s="69"/>
      <c r="V2383" s="69"/>
      <c r="W2383" s="69"/>
    </row>
    <row r="2384" spans="7:23" x14ac:dyDescent="0.3">
      <c r="G2384" s="69"/>
      <c r="H2384" s="69"/>
      <c r="I2384" s="69"/>
      <c r="J2384" s="69"/>
      <c r="K2384" s="69"/>
      <c r="L2384" s="69"/>
      <c r="M2384" s="69"/>
      <c r="N2384" s="69"/>
      <c r="O2384" s="69"/>
      <c r="P2384" s="69"/>
      <c r="Q2384" s="69"/>
      <c r="R2384" s="69"/>
      <c r="S2384" s="69"/>
      <c r="T2384" s="69"/>
      <c r="U2384" s="69"/>
      <c r="V2384" s="69"/>
      <c r="W2384" s="69"/>
    </row>
    <row r="2385" spans="7:23" x14ac:dyDescent="0.3">
      <c r="G2385" s="69"/>
      <c r="H2385" s="69"/>
      <c r="I2385" s="69"/>
      <c r="J2385" s="69"/>
      <c r="K2385" s="69"/>
      <c r="L2385" s="69"/>
      <c r="M2385" s="69"/>
      <c r="N2385" s="69"/>
      <c r="O2385" s="69"/>
      <c r="P2385" s="69"/>
      <c r="Q2385" s="69"/>
      <c r="R2385" s="69"/>
      <c r="S2385" s="69"/>
      <c r="T2385" s="69"/>
      <c r="U2385" s="69"/>
      <c r="V2385" s="69"/>
      <c r="W2385" s="69"/>
    </row>
    <row r="2386" spans="7:23" x14ac:dyDescent="0.3">
      <c r="G2386" s="69"/>
      <c r="H2386" s="69"/>
      <c r="I2386" s="69"/>
      <c r="J2386" s="69"/>
      <c r="K2386" s="69"/>
      <c r="L2386" s="69"/>
      <c r="M2386" s="69"/>
      <c r="N2386" s="69"/>
      <c r="O2386" s="69"/>
      <c r="P2386" s="69"/>
      <c r="Q2386" s="69"/>
      <c r="R2386" s="69"/>
      <c r="S2386" s="69"/>
      <c r="T2386" s="69"/>
      <c r="U2386" s="69"/>
      <c r="V2386" s="69"/>
      <c r="W2386" s="69"/>
    </row>
    <row r="2387" spans="7:23" x14ac:dyDescent="0.3">
      <c r="G2387" s="69"/>
      <c r="H2387" s="69"/>
      <c r="I2387" s="69"/>
      <c r="J2387" s="69"/>
      <c r="K2387" s="69"/>
      <c r="L2387" s="69"/>
      <c r="M2387" s="69"/>
      <c r="N2387" s="69"/>
      <c r="O2387" s="69"/>
      <c r="P2387" s="69"/>
      <c r="Q2387" s="69"/>
      <c r="R2387" s="69"/>
      <c r="S2387" s="69"/>
      <c r="T2387" s="69"/>
      <c r="U2387" s="69"/>
      <c r="V2387" s="69"/>
      <c r="W2387" s="69"/>
    </row>
    <row r="2388" spans="7:23" x14ac:dyDescent="0.3">
      <c r="G2388" s="69"/>
      <c r="H2388" s="69"/>
      <c r="I2388" s="69"/>
      <c r="J2388" s="69"/>
      <c r="K2388" s="69"/>
      <c r="L2388" s="69"/>
      <c r="M2388" s="69"/>
      <c r="N2388" s="69"/>
      <c r="O2388" s="69"/>
      <c r="P2388" s="69"/>
      <c r="Q2388" s="69"/>
      <c r="R2388" s="69"/>
      <c r="S2388" s="69"/>
      <c r="T2388" s="69"/>
      <c r="U2388" s="69"/>
      <c r="V2388" s="69"/>
      <c r="W2388" s="69"/>
    </row>
    <row r="2389" spans="7:23" x14ac:dyDescent="0.3">
      <c r="G2389" s="69"/>
      <c r="H2389" s="69"/>
      <c r="I2389" s="69"/>
      <c r="J2389" s="69"/>
      <c r="K2389" s="69"/>
      <c r="L2389" s="69"/>
      <c r="M2389" s="69"/>
      <c r="N2389" s="69"/>
      <c r="O2389" s="69"/>
      <c r="P2389" s="69"/>
      <c r="Q2389" s="69"/>
      <c r="R2389" s="69"/>
      <c r="S2389" s="69"/>
      <c r="T2389" s="69"/>
      <c r="U2389" s="69"/>
      <c r="V2389" s="69"/>
      <c r="W2389" s="69"/>
    </row>
    <row r="2390" spans="7:23" x14ac:dyDescent="0.3">
      <c r="G2390" s="69"/>
      <c r="H2390" s="69"/>
      <c r="I2390" s="69"/>
      <c r="J2390" s="69"/>
      <c r="K2390" s="69"/>
      <c r="L2390" s="69"/>
      <c r="M2390" s="69"/>
      <c r="N2390" s="69"/>
      <c r="O2390" s="69"/>
      <c r="P2390" s="69"/>
      <c r="Q2390" s="69"/>
      <c r="R2390" s="69"/>
      <c r="S2390" s="69"/>
      <c r="T2390" s="69"/>
      <c r="U2390" s="69"/>
      <c r="V2390" s="69"/>
      <c r="W2390" s="69"/>
    </row>
    <row r="2391" spans="7:23" x14ac:dyDescent="0.3">
      <c r="G2391" s="69"/>
      <c r="H2391" s="69"/>
      <c r="I2391" s="69"/>
      <c r="J2391" s="69"/>
      <c r="K2391" s="69"/>
      <c r="L2391" s="69"/>
      <c r="M2391" s="69"/>
      <c r="N2391" s="69"/>
      <c r="O2391" s="69"/>
      <c r="P2391" s="69"/>
      <c r="Q2391" s="69"/>
      <c r="R2391" s="69"/>
      <c r="S2391" s="69"/>
      <c r="T2391" s="69"/>
      <c r="U2391" s="69"/>
      <c r="V2391" s="69"/>
      <c r="W2391" s="69"/>
    </row>
    <row r="2392" spans="7:23" x14ac:dyDescent="0.3">
      <c r="G2392" s="69"/>
      <c r="H2392" s="69"/>
      <c r="I2392" s="69"/>
      <c r="J2392" s="69"/>
      <c r="K2392" s="69"/>
      <c r="L2392" s="69"/>
      <c r="M2392" s="69"/>
      <c r="N2392" s="69"/>
      <c r="O2392" s="69"/>
      <c r="P2392" s="69"/>
      <c r="Q2392" s="69"/>
      <c r="R2392" s="69"/>
      <c r="S2392" s="69"/>
      <c r="T2392" s="69"/>
      <c r="U2392" s="69"/>
      <c r="V2392" s="69"/>
      <c r="W2392" s="69"/>
    </row>
    <row r="2393" spans="7:23" x14ac:dyDescent="0.3">
      <c r="G2393" s="69"/>
      <c r="H2393" s="69"/>
      <c r="I2393" s="69"/>
      <c r="J2393" s="69"/>
      <c r="K2393" s="69"/>
      <c r="L2393" s="69"/>
      <c r="M2393" s="69"/>
      <c r="N2393" s="69"/>
      <c r="O2393" s="69"/>
      <c r="P2393" s="69"/>
      <c r="Q2393" s="69"/>
      <c r="R2393" s="69"/>
      <c r="S2393" s="69"/>
      <c r="T2393" s="69"/>
      <c r="U2393" s="69"/>
      <c r="V2393" s="69"/>
      <c r="W2393" s="69"/>
    </row>
    <row r="2394" spans="7:23" x14ac:dyDescent="0.3">
      <c r="G2394" s="69"/>
      <c r="H2394" s="69"/>
      <c r="I2394" s="69"/>
      <c r="J2394" s="69"/>
      <c r="K2394" s="69"/>
      <c r="L2394" s="69"/>
      <c r="M2394" s="69"/>
      <c r="N2394" s="69"/>
      <c r="O2394" s="69"/>
      <c r="P2394" s="69"/>
      <c r="Q2394" s="69"/>
      <c r="R2394" s="69"/>
      <c r="S2394" s="69"/>
      <c r="T2394" s="69"/>
      <c r="U2394" s="69"/>
      <c r="V2394" s="69"/>
      <c r="W2394" s="69"/>
    </row>
    <row r="2395" spans="7:23" x14ac:dyDescent="0.3">
      <c r="G2395" s="69"/>
      <c r="H2395" s="69"/>
      <c r="I2395" s="69"/>
      <c r="J2395" s="69"/>
      <c r="K2395" s="69"/>
      <c r="L2395" s="69"/>
      <c r="M2395" s="69"/>
      <c r="N2395" s="69"/>
      <c r="O2395" s="69"/>
      <c r="P2395" s="69"/>
      <c r="Q2395" s="69"/>
      <c r="R2395" s="69"/>
      <c r="S2395" s="69"/>
      <c r="T2395" s="69"/>
      <c r="U2395" s="69"/>
      <c r="V2395" s="69"/>
      <c r="W2395" s="69"/>
    </row>
    <row r="2396" spans="7:23" x14ac:dyDescent="0.3">
      <c r="G2396" s="69"/>
      <c r="H2396" s="69"/>
      <c r="I2396" s="69"/>
      <c r="J2396" s="69"/>
      <c r="K2396" s="69"/>
      <c r="L2396" s="69"/>
      <c r="M2396" s="69"/>
      <c r="N2396" s="69"/>
      <c r="O2396" s="69"/>
      <c r="P2396" s="69"/>
      <c r="Q2396" s="69"/>
      <c r="R2396" s="69"/>
      <c r="S2396" s="69"/>
      <c r="T2396" s="69"/>
      <c r="U2396" s="69"/>
      <c r="V2396" s="69"/>
      <c r="W2396" s="69"/>
    </row>
    <row r="2397" spans="7:23" x14ac:dyDescent="0.3">
      <c r="G2397" s="69"/>
      <c r="H2397" s="69"/>
      <c r="I2397" s="69"/>
      <c r="J2397" s="69"/>
      <c r="K2397" s="69"/>
      <c r="L2397" s="69"/>
      <c r="M2397" s="69"/>
      <c r="N2397" s="69"/>
      <c r="O2397" s="69"/>
      <c r="P2397" s="69"/>
      <c r="Q2397" s="69"/>
      <c r="R2397" s="69"/>
      <c r="S2397" s="69"/>
      <c r="T2397" s="69"/>
      <c r="U2397" s="69"/>
      <c r="V2397" s="69"/>
      <c r="W2397" s="69"/>
    </row>
    <row r="2398" spans="7:23" x14ac:dyDescent="0.3">
      <c r="G2398" s="69"/>
      <c r="H2398" s="69"/>
      <c r="I2398" s="69"/>
      <c r="J2398" s="69"/>
      <c r="K2398" s="69"/>
      <c r="L2398" s="69"/>
      <c r="M2398" s="69"/>
      <c r="N2398" s="69"/>
      <c r="O2398" s="69"/>
      <c r="P2398" s="69"/>
      <c r="Q2398" s="69"/>
      <c r="R2398" s="69"/>
      <c r="S2398" s="69"/>
      <c r="T2398" s="69"/>
      <c r="U2398" s="69"/>
      <c r="V2398" s="69"/>
      <c r="W2398" s="69"/>
    </row>
    <row r="2399" spans="7:23" x14ac:dyDescent="0.3">
      <c r="G2399" s="69"/>
      <c r="H2399" s="69"/>
      <c r="I2399" s="69"/>
      <c r="J2399" s="69"/>
      <c r="K2399" s="69"/>
      <c r="L2399" s="69"/>
      <c r="M2399" s="69"/>
      <c r="N2399" s="69"/>
      <c r="O2399" s="69"/>
      <c r="P2399" s="69"/>
      <c r="Q2399" s="69"/>
      <c r="R2399" s="69"/>
      <c r="S2399" s="69"/>
      <c r="T2399" s="69"/>
      <c r="U2399" s="69"/>
      <c r="V2399" s="69"/>
      <c r="W2399" s="69"/>
    </row>
    <row r="2400" spans="7:23" x14ac:dyDescent="0.3">
      <c r="G2400" s="69"/>
      <c r="H2400" s="69"/>
      <c r="I2400" s="69"/>
      <c r="J2400" s="69"/>
      <c r="K2400" s="69"/>
      <c r="L2400" s="69"/>
      <c r="M2400" s="69"/>
      <c r="N2400" s="69"/>
      <c r="O2400" s="69"/>
      <c r="P2400" s="69"/>
      <c r="Q2400" s="69"/>
      <c r="R2400" s="69"/>
      <c r="S2400" s="69"/>
      <c r="T2400" s="69"/>
      <c r="U2400" s="69"/>
      <c r="V2400" s="69"/>
      <c r="W2400" s="69"/>
    </row>
    <row r="2401" spans="7:23" x14ac:dyDescent="0.3">
      <c r="G2401" s="69"/>
      <c r="H2401" s="69"/>
      <c r="I2401" s="69"/>
      <c r="J2401" s="69"/>
      <c r="K2401" s="69"/>
      <c r="L2401" s="69"/>
      <c r="M2401" s="69"/>
      <c r="N2401" s="69"/>
      <c r="O2401" s="69"/>
      <c r="P2401" s="69"/>
      <c r="Q2401" s="69"/>
      <c r="R2401" s="69"/>
      <c r="S2401" s="69"/>
      <c r="T2401" s="69"/>
      <c r="U2401" s="69"/>
      <c r="V2401" s="69"/>
      <c r="W2401" s="69"/>
    </row>
    <row r="2402" spans="7:23" x14ac:dyDescent="0.3">
      <c r="G2402" s="69"/>
      <c r="H2402" s="69"/>
      <c r="I2402" s="69"/>
      <c r="J2402" s="69"/>
      <c r="K2402" s="69"/>
      <c r="L2402" s="69"/>
      <c r="M2402" s="69"/>
      <c r="N2402" s="69"/>
      <c r="O2402" s="69"/>
      <c r="P2402" s="69"/>
      <c r="Q2402" s="69"/>
      <c r="R2402" s="69"/>
      <c r="S2402" s="69"/>
      <c r="T2402" s="69"/>
      <c r="U2402" s="69"/>
      <c r="V2402" s="69"/>
      <c r="W2402" s="69"/>
    </row>
    <row r="2403" spans="7:23" x14ac:dyDescent="0.3">
      <c r="G2403" s="69"/>
      <c r="H2403" s="69"/>
      <c r="I2403" s="69"/>
      <c r="J2403" s="69"/>
      <c r="K2403" s="69"/>
      <c r="L2403" s="69"/>
      <c r="M2403" s="69"/>
      <c r="N2403" s="69"/>
      <c r="O2403" s="69"/>
      <c r="P2403" s="69"/>
      <c r="Q2403" s="69"/>
      <c r="R2403" s="69"/>
      <c r="S2403" s="69"/>
      <c r="T2403" s="69"/>
      <c r="U2403" s="69"/>
      <c r="V2403" s="69"/>
      <c r="W2403" s="69"/>
    </row>
    <row r="2404" spans="7:23" x14ac:dyDescent="0.3">
      <c r="G2404" s="69"/>
      <c r="H2404" s="69"/>
      <c r="I2404" s="69"/>
      <c r="J2404" s="69"/>
      <c r="K2404" s="69"/>
      <c r="L2404" s="69"/>
      <c r="M2404" s="69"/>
      <c r="N2404" s="69"/>
      <c r="O2404" s="69"/>
      <c r="P2404" s="69"/>
      <c r="Q2404" s="69"/>
      <c r="R2404" s="69"/>
      <c r="S2404" s="69"/>
      <c r="T2404" s="69"/>
      <c r="U2404" s="69"/>
      <c r="V2404" s="69"/>
      <c r="W2404" s="69"/>
    </row>
    <row r="2405" spans="7:23" x14ac:dyDescent="0.3">
      <c r="G2405" s="69"/>
      <c r="H2405" s="69"/>
      <c r="I2405" s="69"/>
      <c r="J2405" s="69"/>
      <c r="K2405" s="69"/>
      <c r="L2405" s="69"/>
      <c r="M2405" s="69"/>
      <c r="N2405" s="69"/>
      <c r="O2405" s="69"/>
      <c r="P2405" s="69"/>
      <c r="Q2405" s="69"/>
      <c r="R2405" s="69"/>
      <c r="S2405" s="69"/>
      <c r="T2405" s="69"/>
      <c r="U2405" s="69"/>
      <c r="V2405" s="69"/>
      <c r="W2405" s="69"/>
    </row>
    <row r="2406" spans="7:23" x14ac:dyDescent="0.3">
      <c r="G2406" s="69"/>
      <c r="H2406" s="69"/>
      <c r="I2406" s="69"/>
      <c r="J2406" s="69"/>
      <c r="K2406" s="69"/>
      <c r="L2406" s="69"/>
      <c r="M2406" s="69"/>
      <c r="N2406" s="69"/>
      <c r="O2406" s="69"/>
      <c r="P2406" s="69"/>
      <c r="Q2406" s="69"/>
      <c r="R2406" s="69"/>
      <c r="S2406" s="69"/>
      <c r="T2406" s="69"/>
      <c r="U2406" s="69"/>
      <c r="V2406" s="69"/>
      <c r="W2406" s="69"/>
    </row>
    <row r="2407" spans="7:23" x14ac:dyDescent="0.3">
      <c r="G2407" s="69"/>
      <c r="H2407" s="69"/>
      <c r="I2407" s="69"/>
      <c r="J2407" s="69"/>
      <c r="K2407" s="69"/>
      <c r="L2407" s="69"/>
      <c r="M2407" s="69"/>
      <c r="N2407" s="69"/>
      <c r="O2407" s="69"/>
      <c r="P2407" s="69"/>
      <c r="Q2407" s="69"/>
      <c r="R2407" s="69"/>
      <c r="S2407" s="69"/>
      <c r="T2407" s="69"/>
      <c r="U2407" s="69"/>
      <c r="V2407" s="69"/>
      <c r="W2407" s="69"/>
    </row>
    <row r="2408" spans="7:23" x14ac:dyDescent="0.3">
      <c r="G2408" s="69"/>
      <c r="H2408" s="69"/>
      <c r="I2408" s="69"/>
      <c r="J2408" s="69"/>
      <c r="K2408" s="69"/>
      <c r="L2408" s="69"/>
      <c r="M2408" s="69"/>
      <c r="N2408" s="69"/>
      <c r="O2408" s="69"/>
      <c r="P2408" s="69"/>
      <c r="Q2408" s="69"/>
      <c r="R2408" s="69"/>
      <c r="S2408" s="69"/>
      <c r="T2408" s="69"/>
      <c r="U2408" s="69"/>
      <c r="V2408" s="69"/>
      <c r="W2408" s="69"/>
    </row>
    <row r="2409" spans="7:23" x14ac:dyDescent="0.3">
      <c r="G2409" s="69"/>
      <c r="H2409" s="69"/>
      <c r="I2409" s="69"/>
      <c r="J2409" s="69"/>
      <c r="K2409" s="69"/>
      <c r="L2409" s="69"/>
      <c r="M2409" s="69"/>
      <c r="N2409" s="69"/>
      <c r="O2409" s="69"/>
      <c r="P2409" s="69"/>
      <c r="Q2409" s="69"/>
      <c r="R2409" s="69"/>
      <c r="S2409" s="69"/>
      <c r="T2409" s="69"/>
      <c r="U2409" s="69"/>
      <c r="V2409" s="69"/>
      <c r="W2409" s="69"/>
    </row>
    <row r="2410" spans="7:23" x14ac:dyDescent="0.3">
      <c r="G2410" s="69"/>
      <c r="H2410" s="69"/>
      <c r="I2410" s="69"/>
      <c r="J2410" s="69"/>
      <c r="K2410" s="69"/>
      <c r="L2410" s="69"/>
      <c r="M2410" s="69"/>
      <c r="N2410" s="69"/>
      <c r="O2410" s="69"/>
      <c r="P2410" s="69"/>
      <c r="Q2410" s="69"/>
      <c r="R2410" s="69"/>
      <c r="S2410" s="69"/>
      <c r="T2410" s="69"/>
      <c r="U2410" s="69"/>
      <c r="V2410" s="69"/>
      <c r="W2410" s="69"/>
    </row>
    <row r="2411" spans="7:23" x14ac:dyDescent="0.3">
      <c r="G2411" s="69"/>
      <c r="H2411" s="69"/>
      <c r="I2411" s="69"/>
      <c r="J2411" s="69"/>
      <c r="K2411" s="69"/>
      <c r="L2411" s="69"/>
      <c r="M2411" s="69"/>
      <c r="N2411" s="69"/>
      <c r="O2411" s="69"/>
      <c r="P2411" s="69"/>
      <c r="Q2411" s="69"/>
      <c r="R2411" s="69"/>
      <c r="S2411" s="69"/>
      <c r="T2411" s="69"/>
      <c r="U2411" s="69"/>
      <c r="V2411" s="69"/>
      <c r="W2411" s="69"/>
    </row>
    <row r="2412" spans="7:23" x14ac:dyDescent="0.3">
      <c r="G2412" s="69"/>
      <c r="H2412" s="69"/>
      <c r="I2412" s="69"/>
      <c r="J2412" s="69"/>
      <c r="K2412" s="69"/>
      <c r="L2412" s="69"/>
      <c r="M2412" s="69"/>
      <c r="N2412" s="69"/>
      <c r="O2412" s="69"/>
      <c r="P2412" s="69"/>
      <c r="Q2412" s="69"/>
      <c r="R2412" s="69"/>
      <c r="S2412" s="69"/>
      <c r="T2412" s="69"/>
      <c r="U2412" s="69"/>
      <c r="V2412" s="69"/>
      <c r="W2412" s="69"/>
    </row>
    <row r="2413" spans="7:23" x14ac:dyDescent="0.3">
      <c r="G2413" s="69"/>
      <c r="H2413" s="69"/>
      <c r="I2413" s="69"/>
      <c r="J2413" s="69"/>
      <c r="K2413" s="69"/>
      <c r="L2413" s="69"/>
      <c r="M2413" s="69"/>
      <c r="N2413" s="69"/>
      <c r="O2413" s="69"/>
      <c r="P2413" s="69"/>
      <c r="Q2413" s="69"/>
      <c r="R2413" s="69"/>
      <c r="S2413" s="69"/>
      <c r="T2413" s="69"/>
      <c r="U2413" s="69"/>
      <c r="V2413" s="69"/>
      <c r="W2413" s="69"/>
    </row>
    <row r="2414" spans="7:23" x14ac:dyDescent="0.3">
      <c r="G2414" s="69"/>
      <c r="H2414" s="69"/>
      <c r="I2414" s="69"/>
      <c r="J2414" s="69"/>
      <c r="K2414" s="69"/>
      <c r="L2414" s="69"/>
      <c r="M2414" s="69"/>
      <c r="N2414" s="69"/>
      <c r="O2414" s="69"/>
      <c r="P2414" s="69"/>
      <c r="Q2414" s="69"/>
      <c r="R2414" s="69"/>
      <c r="S2414" s="69"/>
      <c r="T2414" s="69"/>
      <c r="U2414" s="69"/>
      <c r="V2414" s="69"/>
      <c r="W2414" s="69"/>
    </row>
    <row r="2415" spans="7:23" x14ac:dyDescent="0.3">
      <c r="G2415" s="69"/>
      <c r="H2415" s="69"/>
      <c r="I2415" s="69"/>
      <c r="J2415" s="69"/>
      <c r="K2415" s="69"/>
      <c r="L2415" s="69"/>
      <c r="M2415" s="69"/>
      <c r="N2415" s="69"/>
      <c r="O2415" s="69"/>
      <c r="P2415" s="69"/>
      <c r="Q2415" s="69"/>
      <c r="R2415" s="69"/>
      <c r="S2415" s="69"/>
      <c r="T2415" s="69"/>
      <c r="U2415" s="69"/>
      <c r="V2415" s="69"/>
      <c r="W2415" s="69"/>
    </row>
    <row r="2416" spans="7:23" x14ac:dyDescent="0.3">
      <c r="G2416" s="69"/>
      <c r="H2416" s="69"/>
      <c r="I2416" s="69"/>
      <c r="J2416" s="69"/>
      <c r="K2416" s="69"/>
      <c r="L2416" s="69"/>
      <c r="M2416" s="69"/>
      <c r="N2416" s="69"/>
      <c r="O2416" s="69"/>
      <c r="P2416" s="69"/>
      <c r="Q2416" s="69"/>
      <c r="R2416" s="69"/>
      <c r="S2416" s="69"/>
      <c r="T2416" s="69"/>
      <c r="U2416" s="69"/>
      <c r="V2416" s="69"/>
      <c r="W2416" s="69"/>
    </row>
    <row r="2417" spans="1:23" x14ac:dyDescent="0.3">
      <c r="G2417" s="69"/>
      <c r="H2417" s="69"/>
      <c r="I2417" s="69"/>
      <c r="J2417" s="69"/>
      <c r="K2417" s="69"/>
      <c r="L2417" s="69"/>
      <c r="M2417" s="69"/>
      <c r="N2417" s="69"/>
      <c r="O2417" s="69"/>
      <c r="P2417" s="69"/>
      <c r="Q2417" s="69"/>
      <c r="R2417" s="69"/>
      <c r="S2417" s="69"/>
      <c r="T2417" s="69"/>
      <c r="U2417" s="69"/>
      <c r="V2417" s="69"/>
      <c r="W2417" s="69"/>
    </row>
    <row r="2418" spans="1:23" x14ac:dyDescent="0.3">
      <c r="G2418" s="69"/>
      <c r="H2418" s="69"/>
      <c r="I2418" s="69"/>
      <c r="J2418" s="69"/>
      <c r="K2418" s="69"/>
      <c r="L2418" s="69"/>
      <c r="M2418" s="69"/>
      <c r="N2418" s="69"/>
      <c r="O2418" s="69"/>
      <c r="P2418" s="69"/>
      <c r="Q2418" s="69"/>
      <c r="R2418" s="69"/>
      <c r="S2418" s="69"/>
      <c r="T2418" s="69"/>
      <c r="U2418" s="69"/>
      <c r="V2418" s="69"/>
      <c r="W2418" s="69"/>
    </row>
    <row r="2419" spans="1:23" x14ac:dyDescent="0.3">
      <c r="G2419" s="69"/>
      <c r="H2419" s="69"/>
      <c r="I2419" s="69"/>
      <c r="J2419" s="69"/>
      <c r="K2419" s="69"/>
      <c r="L2419" s="69"/>
      <c r="M2419" s="69"/>
      <c r="N2419" s="69"/>
      <c r="O2419" s="69"/>
      <c r="P2419" s="69"/>
      <c r="Q2419" s="69"/>
      <c r="R2419" s="69"/>
      <c r="S2419" s="69"/>
      <c r="T2419" s="69"/>
      <c r="U2419" s="69"/>
      <c r="V2419" s="69"/>
      <c r="W2419" s="69"/>
    </row>
    <row r="2420" spans="1:23" ht="21" x14ac:dyDescent="0.4">
      <c r="A2420" s="48"/>
      <c r="G2420" s="69"/>
      <c r="H2420" s="69"/>
      <c r="I2420" s="69"/>
      <c r="J2420" s="69"/>
      <c r="K2420" s="69"/>
      <c r="L2420" s="69"/>
      <c r="M2420" s="69"/>
      <c r="N2420" s="69"/>
      <c r="O2420" s="69"/>
      <c r="P2420" s="69"/>
      <c r="Q2420" s="69"/>
      <c r="R2420" s="69"/>
      <c r="S2420" s="69"/>
      <c r="T2420" s="69"/>
      <c r="U2420" s="69"/>
      <c r="V2420" s="69"/>
      <c r="W2420" s="69"/>
    </row>
    <row r="2421" spans="1:23" x14ac:dyDescent="0.3">
      <c r="G2421" s="69"/>
      <c r="H2421" s="69"/>
      <c r="I2421" s="69"/>
      <c r="J2421" s="69"/>
      <c r="K2421" s="69"/>
      <c r="L2421" s="69"/>
      <c r="M2421" s="69"/>
      <c r="N2421" s="69"/>
      <c r="O2421" s="69"/>
      <c r="P2421" s="69"/>
      <c r="Q2421" s="69"/>
      <c r="R2421" s="69"/>
      <c r="S2421" s="69"/>
      <c r="T2421" s="69"/>
      <c r="U2421" s="69"/>
      <c r="V2421" s="69"/>
      <c r="W2421" s="69"/>
    </row>
    <row r="2422" spans="1:23" x14ac:dyDescent="0.3">
      <c r="G2422" s="69"/>
      <c r="H2422" s="69"/>
      <c r="I2422" s="69"/>
      <c r="J2422" s="69"/>
      <c r="K2422" s="69"/>
      <c r="L2422" s="69"/>
      <c r="M2422" s="69"/>
      <c r="N2422" s="69"/>
      <c r="O2422" s="69"/>
      <c r="P2422" s="69"/>
      <c r="Q2422" s="69"/>
      <c r="R2422" s="69"/>
      <c r="S2422" s="69"/>
      <c r="T2422" s="69"/>
      <c r="U2422" s="69"/>
      <c r="V2422" s="69"/>
      <c r="W2422" s="69"/>
    </row>
    <row r="2423" spans="1:23" x14ac:dyDescent="0.3">
      <c r="G2423" s="69"/>
      <c r="H2423" s="69"/>
      <c r="I2423" s="69"/>
      <c r="J2423" s="69"/>
      <c r="K2423" s="69"/>
      <c r="L2423" s="69"/>
      <c r="M2423" s="69"/>
      <c r="N2423" s="69"/>
      <c r="O2423" s="69"/>
      <c r="P2423" s="69"/>
      <c r="Q2423" s="69"/>
      <c r="R2423" s="69"/>
      <c r="S2423" s="69"/>
      <c r="T2423" s="69"/>
      <c r="U2423" s="69"/>
      <c r="V2423" s="69"/>
      <c r="W2423" s="69"/>
    </row>
    <row r="2424" spans="1:23" x14ac:dyDescent="0.3">
      <c r="G2424" s="69"/>
      <c r="H2424" s="69"/>
      <c r="I2424" s="69"/>
      <c r="J2424" s="69"/>
      <c r="K2424" s="69"/>
      <c r="L2424" s="69"/>
      <c r="M2424" s="69"/>
      <c r="N2424" s="69"/>
      <c r="O2424" s="69"/>
      <c r="P2424" s="69"/>
      <c r="Q2424" s="69"/>
      <c r="R2424" s="69"/>
      <c r="S2424" s="69"/>
      <c r="T2424" s="69"/>
      <c r="U2424" s="69"/>
      <c r="V2424" s="69"/>
      <c r="W2424" s="69"/>
    </row>
    <row r="2425" spans="1:23" x14ac:dyDescent="0.3">
      <c r="G2425" s="69"/>
      <c r="H2425" s="69"/>
      <c r="I2425" s="69"/>
      <c r="J2425" s="69"/>
      <c r="K2425" s="69"/>
      <c r="L2425" s="69"/>
      <c r="M2425" s="69"/>
      <c r="N2425" s="69"/>
      <c r="O2425" s="69"/>
      <c r="P2425" s="69"/>
      <c r="Q2425" s="69"/>
      <c r="R2425" s="69"/>
      <c r="S2425" s="69"/>
      <c r="T2425" s="69"/>
      <c r="U2425" s="69"/>
      <c r="V2425" s="69"/>
      <c r="W2425" s="69"/>
    </row>
    <row r="2426" spans="1:23" x14ac:dyDescent="0.3">
      <c r="G2426" s="69"/>
      <c r="H2426" s="69"/>
      <c r="I2426" s="69"/>
      <c r="J2426" s="69"/>
      <c r="K2426" s="69"/>
      <c r="L2426" s="69"/>
      <c r="M2426" s="69"/>
      <c r="N2426" s="69"/>
      <c r="O2426" s="69"/>
      <c r="P2426" s="69"/>
      <c r="Q2426" s="69"/>
      <c r="R2426" s="69"/>
      <c r="S2426" s="69"/>
      <c r="T2426" s="69"/>
      <c r="U2426" s="69"/>
      <c r="V2426" s="69"/>
      <c r="W2426" s="69"/>
    </row>
    <row r="2427" spans="1:23" x14ac:dyDescent="0.3">
      <c r="G2427" s="69"/>
      <c r="H2427" s="69"/>
      <c r="I2427" s="69"/>
      <c r="J2427" s="69"/>
      <c r="K2427" s="69"/>
      <c r="L2427" s="69"/>
      <c r="M2427" s="69"/>
      <c r="N2427" s="69"/>
      <c r="O2427" s="69"/>
      <c r="P2427" s="69"/>
      <c r="Q2427" s="69"/>
      <c r="R2427" s="69"/>
      <c r="S2427" s="69"/>
      <c r="T2427" s="69"/>
      <c r="U2427" s="69"/>
      <c r="V2427" s="69"/>
      <c r="W2427" s="69"/>
    </row>
    <row r="2428" spans="1:23" x14ac:dyDescent="0.3">
      <c r="G2428" s="69"/>
      <c r="H2428" s="69"/>
      <c r="I2428" s="69"/>
      <c r="J2428" s="69"/>
      <c r="K2428" s="69"/>
      <c r="L2428" s="69"/>
      <c r="M2428" s="69"/>
      <c r="N2428" s="69"/>
      <c r="O2428" s="69"/>
      <c r="P2428" s="69"/>
      <c r="Q2428" s="69"/>
      <c r="R2428" s="69"/>
      <c r="S2428" s="69"/>
      <c r="T2428" s="69"/>
      <c r="U2428" s="69"/>
      <c r="V2428" s="69"/>
      <c r="W2428" s="69"/>
    </row>
    <row r="2429" spans="1:23" x14ac:dyDescent="0.3">
      <c r="G2429" s="69"/>
      <c r="H2429" s="69"/>
      <c r="I2429" s="69"/>
      <c r="J2429" s="69"/>
      <c r="K2429" s="69"/>
      <c r="L2429" s="69"/>
      <c r="M2429" s="69"/>
      <c r="N2429" s="69"/>
      <c r="O2429" s="69"/>
      <c r="P2429" s="69"/>
      <c r="Q2429" s="69"/>
      <c r="R2429" s="69"/>
      <c r="S2429" s="69"/>
      <c r="T2429" s="69"/>
      <c r="U2429" s="69"/>
      <c r="V2429" s="69"/>
      <c r="W2429" s="69"/>
    </row>
    <row r="2430" spans="1:23" x14ac:dyDescent="0.3">
      <c r="G2430" s="69"/>
      <c r="H2430" s="69"/>
      <c r="I2430" s="69"/>
      <c r="J2430" s="69"/>
      <c r="K2430" s="69"/>
      <c r="L2430" s="69"/>
      <c r="M2430" s="69"/>
      <c r="N2430" s="69"/>
      <c r="O2430" s="69"/>
      <c r="P2430" s="69"/>
      <c r="Q2430" s="69"/>
      <c r="R2430" s="69"/>
      <c r="S2430" s="69"/>
      <c r="T2430" s="69"/>
      <c r="U2430" s="69"/>
      <c r="V2430" s="69"/>
      <c r="W2430" s="69"/>
    </row>
    <row r="2431" spans="1:23" x14ac:dyDescent="0.3">
      <c r="G2431" s="69"/>
      <c r="H2431" s="69"/>
      <c r="I2431" s="69"/>
      <c r="J2431" s="69"/>
      <c r="K2431" s="69"/>
      <c r="L2431" s="69"/>
      <c r="M2431" s="69"/>
      <c r="N2431" s="69"/>
      <c r="O2431" s="69"/>
      <c r="P2431" s="69"/>
      <c r="Q2431" s="69"/>
      <c r="R2431" s="69"/>
      <c r="S2431" s="69"/>
      <c r="T2431" s="69"/>
      <c r="U2431" s="69"/>
      <c r="V2431" s="69"/>
      <c r="W2431" s="69"/>
    </row>
    <row r="2432" spans="1:23" x14ac:dyDescent="0.3">
      <c r="G2432" s="69"/>
      <c r="H2432" s="69"/>
      <c r="I2432" s="69"/>
      <c r="J2432" s="69"/>
      <c r="K2432" s="69"/>
      <c r="L2432" s="69"/>
      <c r="M2432" s="69"/>
      <c r="N2432" s="69"/>
      <c r="O2432" s="69"/>
      <c r="P2432" s="69"/>
      <c r="Q2432" s="69"/>
      <c r="R2432" s="69"/>
      <c r="S2432" s="69"/>
      <c r="T2432" s="69"/>
      <c r="U2432" s="69"/>
      <c r="V2432" s="69"/>
      <c r="W2432" s="69"/>
    </row>
    <row r="2433" spans="7:23" x14ac:dyDescent="0.3">
      <c r="G2433" s="69"/>
      <c r="H2433" s="69"/>
      <c r="I2433" s="69"/>
      <c r="J2433" s="69"/>
      <c r="K2433" s="69"/>
      <c r="L2433" s="69"/>
      <c r="M2433" s="69"/>
      <c r="N2433" s="69"/>
      <c r="O2433" s="69"/>
      <c r="P2433" s="69"/>
      <c r="Q2433" s="69"/>
      <c r="R2433" s="69"/>
      <c r="S2433" s="69"/>
      <c r="T2433" s="69"/>
      <c r="U2433" s="69"/>
      <c r="V2433" s="69"/>
      <c r="W2433" s="69"/>
    </row>
    <row r="2434" spans="7:23" x14ac:dyDescent="0.3">
      <c r="G2434" s="69"/>
      <c r="H2434" s="69"/>
      <c r="I2434" s="69"/>
      <c r="J2434" s="69"/>
      <c r="K2434" s="69"/>
      <c r="L2434" s="69"/>
      <c r="M2434" s="69"/>
      <c r="N2434" s="69"/>
      <c r="O2434" s="69"/>
      <c r="P2434" s="69"/>
      <c r="Q2434" s="69"/>
      <c r="R2434" s="69"/>
      <c r="S2434" s="69"/>
      <c r="T2434" s="69"/>
      <c r="U2434" s="69"/>
      <c r="V2434" s="69"/>
      <c r="W2434" s="69"/>
    </row>
    <row r="2435" spans="7:23" x14ac:dyDescent="0.3">
      <c r="G2435" s="69"/>
      <c r="H2435" s="69"/>
      <c r="I2435" s="69"/>
      <c r="J2435" s="69"/>
      <c r="K2435" s="69"/>
      <c r="L2435" s="69"/>
      <c r="M2435" s="69"/>
      <c r="N2435" s="69"/>
      <c r="O2435" s="69"/>
      <c r="P2435" s="69"/>
      <c r="Q2435" s="69"/>
      <c r="R2435" s="69"/>
      <c r="S2435" s="69"/>
      <c r="T2435" s="69"/>
      <c r="U2435" s="69"/>
      <c r="V2435" s="69"/>
      <c r="W2435" s="69"/>
    </row>
    <row r="2436" spans="7:23" x14ac:dyDescent="0.3">
      <c r="G2436" s="69"/>
      <c r="H2436" s="69"/>
      <c r="I2436" s="69"/>
      <c r="J2436" s="69"/>
      <c r="K2436" s="69"/>
      <c r="L2436" s="69"/>
      <c r="M2436" s="69"/>
      <c r="N2436" s="69"/>
      <c r="O2436" s="69"/>
      <c r="P2436" s="69"/>
      <c r="Q2436" s="69"/>
      <c r="R2436" s="69"/>
      <c r="S2436" s="69"/>
      <c r="T2436" s="69"/>
      <c r="U2436" s="69"/>
      <c r="V2436" s="69"/>
      <c r="W2436" s="69"/>
    </row>
    <row r="2437" spans="7:23" x14ac:dyDescent="0.3">
      <c r="G2437" s="69"/>
      <c r="H2437" s="69"/>
      <c r="I2437" s="69"/>
      <c r="J2437" s="69"/>
      <c r="K2437" s="69"/>
      <c r="L2437" s="69"/>
      <c r="M2437" s="69"/>
      <c r="N2437" s="69"/>
      <c r="O2437" s="69"/>
      <c r="P2437" s="69"/>
      <c r="Q2437" s="69"/>
      <c r="R2437" s="69"/>
      <c r="S2437" s="69"/>
      <c r="T2437" s="69"/>
      <c r="U2437" s="69"/>
      <c r="V2437" s="69"/>
      <c r="W2437" s="69"/>
    </row>
    <row r="2438" spans="7:23" x14ac:dyDescent="0.3">
      <c r="G2438" s="69"/>
      <c r="H2438" s="69"/>
      <c r="I2438" s="69"/>
      <c r="J2438" s="69"/>
      <c r="K2438" s="69"/>
      <c r="L2438" s="69"/>
      <c r="M2438" s="69"/>
      <c r="N2438" s="69"/>
      <c r="O2438" s="69"/>
      <c r="P2438" s="69"/>
      <c r="Q2438" s="69"/>
      <c r="R2438" s="69"/>
      <c r="S2438" s="69"/>
      <c r="T2438" s="69"/>
      <c r="U2438" s="69"/>
      <c r="V2438" s="69"/>
      <c r="W2438" s="69"/>
    </row>
    <row r="2439" spans="7:23" x14ac:dyDescent="0.3">
      <c r="G2439" s="69"/>
      <c r="H2439" s="69"/>
      <c r="I2439" s="69"/>
      <c r="J2439" s="69"/>
      <c r="K2439" s="69"/>
      <c r="L2439" s="69"/>
      <c r="M2439" s="69"/>
      <c r="N2439" s="69"/>
      <c r="O2439" s="69"/>
      <c r="P2439" s="69"/>
      <c r="Q2439" s="69"/>
      <c r="R2439" s="69"/>
      <c r="S2439" s="69"/>
      <c r="T2439" s="69"/>
      <c r="U2439" s="69"/>
      <c r="V2439" s="69"/>
      <c r="W2439" s="69"/>
    </row>
    <row r="2440" spans="7:23" x14ac:dyDescent="0.3">
      <c r="G2440" s="69"/>
      <c r="H2440" s="69"/>
      <c r="I2440" s="69"/>
      <c r="J2440" s="69"/>
      <c r="K2440" s="69"/>
      <c r="L2440" s="69"/>
      <c r="M2440" s="69"/>
      <c r="N2440" s="69"/>
      <c r="O2440" s="69"/>
      <c r="P2440" s="69"/>
      <c r="Q2440" s="69"/>
      <c r="R2440" s="69"/>
      <c r="S2440" s="69"/>
      <c r="T2440" s="69"/>
      <c r="U2440" s="69"/>
      <c r="V2440" s="69"/>
      <c r="W2440" s="69"/>
    </row>
    <row r="2441" spans="7:23" x14ac:dyDescent="0.3">
      <c r="G2441" s="69"/>
      <c r="H2441" s="69"/>
      <c r="I2441" s="69"/>
      <c r="J2441" s="69"/>
      <c r="K2441" s="69"/>
      <c r="L2441" s="69"/>
      <c r="M2441" s="69"/>
      <c r="N2441" s="69"/>
      <c r="O2441" s="69"/>
      <c r="P2441" s="69"/>
      <c r="Q2441" s="69"/>
      <c r="R2441" s="69"/>
      <c r="S2441" s="69"/>
      <c r="T2441" s="69"/>
      <c r="U2441" s="69"/>
      <c r="V2441" s="69"/>
      <c r="W2441" s="69"/>
    </row>
    <row r="2442" spans="7:23" x14ac:dyDescent="0.3">
      <c r="G2442" s="69"/>
      <c r="H2442" s="69"/>
      <c r="I2442" s="69"/>
      <c r="J2442" s="69"/>
      <c r="K2442" s="69"/>
      <c r="L2442" s="69"/>
      <c r="M2442" s="69"/>
      <c r="N2442" s="69"/>
      <c r="O2442" s="69"/>
      <c r="P2442" s="69"/>
      <c r="Q2442" s="69"/>
      <c r="R2442" s="69"/>
      <c r="S2442" s="69"/>
      <c r="T2442" s="69"/>
      <c r="U2442" s="69"/>
      <c r="V2442" s="69"/>
      <c r="W2442" s="69"/>
    </row>
    <row r="2443" spans="7:23" x14ac:dyDescent="0.3">
      <c r="G2443" s="69"/>
      <c r="H2443" s="69"/>
      <c r="I2443" s="69"/>
      <c r="J2443" s="69"/>
      <c r="K2443" s="69"/>
      <c r="L2443" s="69"/>
      <c r="M2443" s="69"/>
      <c r="N2443" s="69"/>
      <c r="O2443" s="69"/>
      <c r="P2443" s="69"/>
      <c r="Q2443" s="69"/>
      <c r="R2443" s="69"/>
      <c r="S2443" s="69"/>
      <c r="T2443" s="69"/>
      <c r="U2443" s="69"/>
      <c r="V2443" s="69"/>
      <c r="W2443" s="69"/>
    </row>
    <row r="2444" spans="7:23" x14ac:dyDescent="0.3">
      <c r="G2444" s="69"/>
      <c r="H2444" s="69"/>
      <c r="I2444" s="69"/>
      <c r="J2444" s="69"/>
      <c r="K2444" s="69"/>
      <c r="L2444" s="69"/>
      <c r="M2444" s="69"/>
      <c r="N2444" s="69"/>
      <c r="O2444" s="69"/>
      <c r="P2444" s="69"/>
      <c r="Q2444" s="69"/>
      <c r="R2444" s="69"/>
      <c r="S2444" s="69"/>
      <c r="T2444" s="69"/>
      <c r="U2444" s="69"/>
      <c r="V2444" s="69"/>
      <c r="W2444" s="69"/>
    </row>
    <row r="2445" spans="7:23" x14ac:dyDescent="0.3">
      <c r="G2445" s="69"/>
      <c r="H2445" s="69"/>
      <c r="I2445" s="69"/>
      <c r="J2445" s="69"/>
      <c r="K2445" s="69"/>
      <c r="L2445" s="69"/>
      <c r="M2445" s="69"/>
      <c r="N2445" s="69"/>
      <c r="O2445" s="69"/>
      <c r="P2445" s="69"/>
      <c r="Q2445" s="69"/>
      <c r="R2445" s="69"/>
      <c r="S2445" s="69"/>
      <c r="T2445" s="69"/>
      <c r="U2445" s="69"/>
      <c r="V2445" s="69"/>
      <c r="W2445" s="69"/>
    </row>
    <row r="2446" spans="7:23" x14ac:dyDescent="0.3">
      <c r="G2446" s="69"/>
      <c r="H2446" s="69"/>
      <c r="I2446" s="69"/>
      <c r="J2446" s="69"/>
      <c r="K2446" s="69"/>
      <c r="L2446" s="69"/>
      <c r="M2446" s="69"/>
      <c r="N2446" s="69"/>
      <c r="O2446" s="69"/>
      <c r="P2446" s="69"/>
      <c r="Q2446" s="69"/>
      <c r="R2446" s="69"/>
      <c r="S2446" s="69"/>
      <c r="T2446" s="69"/>
      <c r="U2446" s="69"/>
      <c r="V2446" s="69"/>
      <c r="W2446" s="69"/>
    </row>
    <row r="2447" spans="7:23" x14ac:dyDescent="0.3">
      <c r="G2447" s="69"/>
      <c r="H2447" s="69"/>
      <c r="I2447" s="69"/>
      <c r="J2447" s="69"/>
      <c r="K2447" s="69"/>
      <c r="L2447" s="69"/>
      <c r="M2447" s="69"/>
      <c r="N2447" s="69"/>
      <c r="O2447" s="69"/>
      <c r="P2447" s="69"/>
      <c r="Q2447" s="69"/>
      <c r="R2447" s="69"/>
      <c r="S2447" s="69"/>
      <c r="T2447" s="69"/>
      <c r="U2447" s="69"/>
      <c r="V2447" s="69"/>
      <c r="W2447" s="69"/>
    </row>
    <row r="2448" spans="7:23" x14ac:dyDescent="0.3">
      <c r="G2448" s="69"/>
      <c r="H2448" s="69"/>
      <c r="I2448" s="69"/>
      <c r="J2448" s="69"/>
      <c r="K2448" s="69"/>
      <c r="L2448" s="69"/>
      <c r="M2448" s="69"/>
      <c r="N2448" s="69"/>
      <c r="O2448" s="69"/>
      <c r="P2448" s="69"/>
      <c r="Q2448" s="69"/>
      <c r="R2448" s="69"/>
      <c r="S2448" s="69"/>
      <c r="T2448" s="69"/>
      <c r="U2448" s="69"/>
      <c r="V2448" s="69"/>
      <c r="W2448" s="69"/>
    </row>
    <row r="2449" spans="7:23" x14ac:dyDescent="0.3">
      <c r="G2449" s="69"/>
      <c r="H2449" s="69"/>
      <c r="I2449" s="69"/>
      <c r="J2449" s="69"/>
      <c r="K2449" s="69"/>
      <c r="L2449" s="69"/>
      <c r="M2449" s="69"/>
      <c r="N2449" s="69"/>
      <c r="O2449" s="69"/>
      <c r="P2449" s="69"/>
      <c r="Q2449" s="69"/>
      <c r="R2449" s="69"/>
      <c r="S2449" s="69"/>
      <c r="T2449" s="69"/>
      <c r="U2449" s="69"/>
      <c r="V2449" s="69"/>
      <c r="W2449" s="69"/>
    </row>
    <row r="2450" spans="7:23" x14ac:dyDescent="0.3">
      <c r="G2450" s="69"/>
      <c r="H2450" s="69"/>
      <c r="I2450" s="69"/>
      <c r="J2450" s="69"/>
      <c r="K2450" s="69"/>
      <c r="L2450" s="69"/>
      <c r="M2450" s="69"/>
      <c r="N2450" s="69"/>
      <c r="O2450" s="69"/>
      <c r="P2450" s="69"/>
      <c r="Q2450" s="69"/>
      <c r="R2450" s="69"/>
      <c r="S2450" s="69"/>
      <c r="T2450" s="69"/>
      <c r="U2450" s="69"/>
      <c r="V2450" s="69"/>
      <c r="W2450" s="69"/>
    </row>
    <row r="2451" spans="7:23" x14ac:dyDescent="0.3">
      <c r="G2451" s="69"/>
      <c r="H2451" s="69"/>
      <c r="I2451" s="69"/>
      <c r="J2451" s="69"/>
      <c r="K2451" s="69"/>
      <c r="L2451" s="69"/>
      <c r="M2451" s="69"/>
      <c r="N2451" s="69"/>
      <c r="O2451" s="69"/>
      <c r="P2451" s="69"/>
      <c r="Q2451" s="69"/>
      <c r="R2451" s="69"/>
      <c r="S2451" s="69"/>
      <c r="T2451" s="69"/>
      <c r="U2451" s="69"/>
      <c r="V2451" s="69"/>
      <c r="W2451" s="69"/>
    </row>
    <row r="2452" spans="7:23" x14ac:dyDescent="0.3">
      <c r="G2452" s="69"/>
      <c r="H2452" s="69"/>
      <c r="I2452" s="69"/>
      <c r="J2452" s="69"/>
      <c r="K2452" s="69"/>
      <c r="L2452" s="69"/>
      <c r="M2452" s="69"/>
      <c r="N2452" s="69"/>
      <c r="O2452" s="69"/>
      <c r="P2452" s="69"/>
      <c r="Q2452" s="69"/>
      <c r="R2452" s="69"/>
      <c r="S2452" s="69"/>
      <c r="T2452" s="69"/>
      <c r="U2452" s="69"/>
      <c r="V2452" s="69"/>
      <c r="W2452" s="69"/>
    </row>
    <row r="2453" spans="7:23" x14ac:dyDescent="0.3">
      <c r="G2453" s="69"/>
      <c r="H2453" s="69"/>
      <c r="I2453" s="69"/>
      <c r="J2453" s="69"/>
      <c r="K2453" s="69"/>
      <c r="L2453" s="69"/>
      <c r="M2453" s="69"/>
      <c r="N2453" s="69"/>
      <c r="O2453" s="69"/>
      <c r="P2453" s="69"/>
      <c r="Q2453" s="69"/>
      <c r="R2453" s="69"/>
      <c r="S2453" s="69"/>
      <c r="T2453" s="69"/>
      <c r="U2453" s="69"/>
      <c r="V2453" s="69"/>
      <c r="W2453" s="69"/>
    </row>
    <row r="2454" spans="7:23" x14ac:dyDescent="0.3">
      <c r="G2454" s="69"/>
      <c r="H2454" s="69"/>
      <c r="I2454" s="69"/>
      <c r="J2454" s="69"/>
      <c r="K2454" s="69"/>
      <c r="L2454" s="69"/>
      <c r="M2454" s="69"/>
      <c r="N2454" s="69"/>
      <c r="O2454" s="69"/>
      <c r="P2454" s="69"/>
      <c r="Q2454" s="69"/>
      <c r="R2454" s="69"/>
      <c r="S2454" s="69"/>
      <c r="T2454" s="69"/>
      <c r="U2454" s="69"/>
      <c r="V2454" s="69"/>
      <c r="W2454" s="69"/>
    </row>
    <row r="2455" spans="7:23" x14ac:dyDescent="0.3">
      <c r="G2455" s="69"/>
      <c r="H2455" s="69"/>
      <c r="I2455" s="69"/>
      <c r="J2455" s="69"/>
      <c r="K2455" s="69"/>
      <c r="L2455" s="69"/>
      <c r="M2455" s="69"/>
      <c r="N2455" s="69"/>
      <c r="O2455" s="69"/>
      <c r="P2455" s="69"/>
      <c r="Q2455" s="69"/>
      <c r="R2455" s="69"/>
      <c r="S2455" s="69"/>
      <c r="T2455" s="69"/>
      <c r="U2455" s="69"/>
      <c r="V2455" s="69"/>
      <c r="W2455" s="69"/>
    </row>
    <row r="2456" spans="7:23" x14ac:dyDescent="0.3">
      <c r="G2456" s="69"/>
      <c r="H2456" s="69"/>
      <c r="I2456" s="69"/>
      <c r="J2456" s="69"/>
      <c r="K2456" s="69"/>
      <c r="L2456" s="69"/>
      <c r="M2456" s="69"/>
      <c r="N2456" s="69"/>
      <c r="O2456" s="69"/>
      <c r="P2456" s="69"/>
      <c r="Q2456" s="69"/>
      <c r="R2456" s="69"/>
      <c r="S2456" s="69"/>
      <c r="T2456" s="69"/>
      <c r="U2456" s="69"/>
      <c r="V2456" s="69"/>
      <c r="W2456" s="69"/>
    </row>
    <row r="2457" spans="7:23" x14ac:dyDescent="0.3">
      <c r="G2457" s="69"/>
      <c r="H2457" s="69"/>
      <c r="I2457" s="69"/>
      <c r="J2457" s="69"/>
      <c r="K2457" s="69"/>
      <c r="L2457" s="69"/>
      <c r="M2457" s="69"/>
      <c r="N2457" s="69"/>
      <c r="O2457" s="69"/>
      <c r="P2457" s="69"/>
      <c r="Q2457" s="69"/>
      <c r="R2457" s="69"/>
      <c r="S2457" s="69"/>
      <c r="T2457" s="69"/>
      <c r="U2457" s="69"/>
      <c r="V2457" s="69"/>
      <c r="W2457" s="69"/>
    </row>
    <row r="2458" spans="7:23" x14ac:dyDescent="0.3">
      <c r="G2458" s="69"/>
      <c r="H2458" s="69"/>
      <c r="I2458" s="69"/>
      <c r="J2458" s="69"/>
      <c r="K2458" s="69"/>
      <c r="L2458" s="69"/>
      <c r="M2458" s="69"/>
      <c r="N2458" s="69"/>
      <c r="O2458" s="69"/>
      <c r="P2458" s="69"/>
      <c r="Q2458" s="69"/>
      <c r="R2458" s="69"/>
      <c r="S2458" s="69"/>
      <c r="T2458" s="69"/>
      <c r="U2458" s="69"/>
      <c r="V2458" s="69"/>
      <c r="W2458" s="69"/>
    </row>
    <row r="2459" spans="7:23" x14ac:dyDescent="0.3">
      <c r="G2459" s="69"/>
      <c r="H2459" s="69"/>
      <c r="I2459" s="69"/>
      <c r="J2459" s="69"/>
      <c r="K2459" s="69"/>
      <c r="L2459" s="69"/>
      <c r="M2459" s="69"/>
      <c r="N2459" s="69"/>
      <c r="O2459" s="69"/>
      <c r="P2459" s="69"/>
      <c r="Q2459" s="69"/>
      <c r="R2459" s="69"/>
      <c r="S2459" s="69"/>
      <c r="T2459" s="69"/>
      <c r="U2459" s="69"/>
      <c r="V2459" s="69"/>
      <c r="W2459" s="69"/>
    </row>
    <row r="2460" spans="7:23" x14ac:dyDescent="0.3">
      <c r="G2460" s="69"/>
      <c r="H2460" s="69"/>
      <c r="I2460" s="69"/>
      <c r="J2460" s="69"/>
      <c r="K2460" s="69"/>
      <c r="L2460" s="69"/>
      <c r="M2460" s="69"/>
      <c r="N2460" s="69"/>
      <c r="O2460" s="69"/>
      <c r="P2460" s="69"/>
      <c r="Q2460" s="69"/>
      <c r="R2460" s="69"/>
      <c r="S2460" s="69"/>
      <c r="T2460" s="69"/>
      <c r="U2460" s="69"/>
      <c r="V2460" s="69"/>
      <c r="W2460" s="69"/>
    </row>
    <row r="2461" spans="7:23" x14ac:dyDescent="0.3">
      <c r="G2461" s="69"/>
      <c r="H2461" s="69"/>
      <c r="I2461" s="69"/>
      <c r="J2461" s="69"/>
      <c r="K2461" s="69"/>
      <c r="L2461" s="69"/>
      <c r="M2461" s="69"/>
      <c r="N2461" s="69"/>
      <c r="O2461" s="69"/>
      <c r="P2461" s="69"/>
      <c r="Q2461" s="69"/>
      <c r="R2461" s="69"/>
      <c r="S2461" s="69"/>
      <c r="T2461" s="69"/>
      <c r="U2461" s="69"/>
      <c r="V2461" s="69"/>
      <c r="W2461" s="69"/>
    </row>
    <row r="2462" spans="7:23" x14ac:dyDescent="0.3">
      <c r="G2462" s="69"/>
      <c r="H2462" s="69"/>
      <c r="I2462" s="69"/>
      <c r="J2462" s="69"/>
      <c r="K2462" s="69"/>
      <c r="L2462" s="69"/>
      <c r="M2462" s="69"/>
      <c r="N2462" s="69"/>
      <c r="O2462" s="69"/>
      <c r="P2462" s="69"/>
      <c r="Q2462" s="69"/>
      <c r="R2462" s="69"/>
      <c r="S2462" s="69"/>
      <c r="T2462" s="69"/>
      <c r="U2462" s="69"/>
      <c r="V2462" s="69"/>
      <c r="W2462" s="69"/>
    </row>
    <row r="2463" spans="7:23" x14ac:dyDescent="0.3">
      <c r="G2463" s="69"/>
      <c r="H2463" s="69"/>
      <c r="I2463" s="69"/>
      <c r="J2463" s="69"/>
      <c r="K2463" s="69"/>
      <c r="L2463" s="69"/>
      <c r="M2463" s="69"/>
      <c r="N2463" s="69"/>
      <c r="O2463" s="69"/>
      <c r="P2463" s="69"/>
      <c r="Q2463" s="69"/>
      <c r="R2463" s="69"/>
      <c r="S2463" s="69"/>
      <c r="T2463" s="69"/>
      <c r="U2463" s="69"/>
      <c r="V2463" s="69"/>
      <c r="W2463" s="69"/>
    </row>
    <row r="2464" spans="7:23" x14ac:dyDescent="0.3">
      <c r="G2464" s="69"/>
      <c r="H2464" s="69"/>
      <c r="I2464" s="69"/>
      <c r="J2464" s="69"/>
      <c r="K2464" s="69"/>
      <c r="L2464" s="69"/>
      <c r="M2464" s="69"/>
      <c r="N2464" s="69"/>
      <c r="O2464" s="69"/>
      <c r="P2464" s="69"/>
      <c r="Q2464" s="69"/>
      <c r="R2464" s="69"/>
      <c r="S2464" s="69"/>
      <c r="T2464" s="69"/>
      <c r="U2464" s="69"/>
      <c r="V2464" s="69"/>
      <c r="W2464" s="69"/>
    </row>
    <row r="2465" spans="7:23" x14ac:dyDescent="0.3">
      <c r="G2465" s="69"/>
      <c r="H2465" s="69"/>
      <c r="I2465" s="69"/>
      <c r="J2465" s="69"/>
      <c r="K2465" s="69"/>
      <c r="L2465" s="69"/>
      <c r="M2465" s="69"/>
      <c r="N2465" s="69"/>
      <c r="O2465" s="69"/>
      <c r="P2465" s="69"/>
      <c r="Q2465" s="69"/>
      <c r="R2465" s="69"/>
      <c r="S2465" s="69"/>
      <c r="T2465" s="69"/>
      <c r="U2465" s="69"/>
      <c r="V2465" s="69"/>
      <c r="W2465" s="69"/>
    </row>
    <row r="2466" spans="7:23" x14ac:dyDescent="0.3">
      <c r="G2466" s="69"/>
      <c r="H2466" s="69"/>
      <c r="I2466" s="69"/>
      <c r="J2466" s="69"/>
      <c r="K2466" s="69"/>
      <c r="L2466" s="69"/>
      <c r="M2466" s="69"/>
      <c r="N2466" s="69"/>
      <c r="O2466" s="69"/>
      <c r="P2466" s="69"/>
      <c r="Q2466" s="69"/>
      <c r="R2466" s="69"/>
      <c r="S2466" s="69"/>
      <c r="T2466" s="69"/>
      <c r="U2466" s="69"/>
      <c r="V2466" s="69"/>
      <c r="W2466" s="69"/>
    </row>
    <row r="2467" spans="7:23" x14ac:dyDescent="0.3">
      <c r="G2467" s="69"/>
      <c r="H2467" s="69"/>
      <c r="I2467" s="69"/>
      <c r="J2467" s="69"/>
      <c r="K2467" s="69"/>
      <c r="L2467" s="69"/>
      <c r="M2467" s="69"/>
      <c r="N2467" s="69"/>
      <c r="O2467" s="69"/>
      <c r="P2467" s="69"/>
      <c r="Q2467" s="69"/>
      <c r="R2467" s="69"/>
      <c r="S2467" s="69"/>
      <c r="T2467" s="69"/>
      <c r="U2467" s="69"/>
      <c r="V2467" s="69"/>
      <c r="W2467" s="69"/>
    </row>
    <row r="2468" spans="7:23" x14ac:dyDescent="0.3">
      <c r="G2468" s="69"/>
      <c r="H2468" s="69"/>
      <c r="I2468" s="69"/>
      <c r="J2468" s="69"/>
      <c r="K2468" s="69"/>
      <c r="L2468" s="69"/>
      <c r="M2468" s="69"/>
      <c r="N2468" s="69"/>
      <c r="O2468" s="69"/>
      <c r="P2468" s="69"/>
      <c r="Q2468" s="69"/>
      <c r="R2468" s="69"/>
      <c r="S2468" s="69"/>
      <c r="T2468" s="69"/>
      <c r="U2468" s="69"/>
      <c r="V2468" s="69"/>
      <c r="W2468" s="69"/>
    </row>
    <row r="2469" spans="7:23" x14ac:dyDescent="0.3">
      <c r="G2469" s="69"/>
      <c r="H2469" s="69"/>
      <c r="I2469" s="69"/>
      <c r="J2469" s="69"/>
      <c r="K2469" s="69"/>
      <c r="L2469" s="69"/>
      <c r="M2469" s="69"/>
      <c r="N2469" s="69"/>
      <c r="O2469" s="69"/>
      <c r="P2469" s="69"/>
      <c r="Q2469" s="69"/>
      <c r="R2469" s="69"/>
      <c r="S2469" s="69"/>
      <c r="T2469" s="69"/>
      <c r="U2469" s="69"/>
      <c r="V2469" s="69"/>
      <c r="W2469" s="69"/>
    </row>
    <row r="2470" spans="7:23" x14ac:dyDescent="0.3">
      <c r="G2470" s="69"/>
      <c r="H2470" s="69"/>
      <c r="I2470" s="69"/>
      <c r="J2470" s="69"/>
      <c r="K2470" s="69"/>
      <c r="L2470" s="69"/>
      <c r="M2470" s="69"/>
      <c r="N2470" s="69"/>
      <c r="O2470" s="69"/>
      <c r="P2470" s="69"/>
      <c r="Q2470" s="69"/>
      <c r="R2470" s="69"/>
      <c r="S2470" s="69"/>
      <c r="T2470" s="69"/>
      <c r="U2470" s="69"/>
      <c r="V2470" s="69"/>
      <c r="W2470" s="69"/>
    </row>
    <row r="2471" spans="7:23" x14ac:dyDescent="0.3">
      <c r="G2471" s="69"/>
      <c r="H2471" s="69"/>
      <c r="I2471" s="69"/>
      <c r="J2471" s="69"/>
      <c r="K2471" s="69"/>
      <c r="L2471" s="69"/>
      <c r="M2471" s="69"/>
      <c r="N2471" s="69"/>
      <c r="O2471" s="69"/>
      <c r="P2471" s="69"/>
      <c r="Q2471" s="69"/>
      <c r="R2471" s="69"/>
      <c r="S2471" s="69"/>
      <c r="T2471" s="69"/>
      <c r="U2471" s="69"/>
      <c r="V2471" s="69"/>
      <c r="W2471" s="69"/>
    </row>
    <row r="2472" spans="7:23" x14ac:dyDescent="0.3">
      <c r="G2472" s="69"/>
      <c r="H2472" s="69"/>
      <c r="I2472" s="69"/>
      <c r="J2472" s="69"/>
      <c r="K2472" s="69"/>
      <c r="L2472" s="69"/>
      <c r="M2472" s="69"/>
      <c r="N2472" s="69"/>
      <c r="O2472" s="69"/>
      <c r="P2472" s="69"/>
      <c r="Q2472" s="69"/>
      <c r="R2472" s="69"/>
      <c r="S2472" s="69"/>
      <c r="T2472" s="69"/>
      <c r="U2472" s="69"/>
      <c r="V2472" s="69"/>
      <c r="W2472" s="69"/>
    </row>
    <row r="2473" spans="7:23" x14ac:dyDescent="0.3">
      <c r="G2473" s="69"/>
      <c r="H2473" s="69"/>
      <c r="I2473" s="69"/>
      <c r="J2473" s="69"/>
      <c r="K2473" s="69"/>
      <c r="L2473" s="69"/>
      <c r="M2473" s="69"/>
      <c r="N2473" s="69"/>
      <c r="O2473" s="69"/>
      <c r="P2473" s="69"/>
      <c r="Q2473" s="69"/>
      <c r="R2473" s="69"/>
      <c r="S2473" s="69"/>
      <c r="T2473" s="69"/>
      <c r="U2473" s="69"/>
      <c r="V2473" s="69"/>
      <c r="W2473" s="69"/>
    </row>
    <row r="2474" spans="7:23" x14ac:dyDescent="0.3">
      <c r="G2474" s="69"/>
      <c r="H2474" s="69"/>
      <c r="I2474" s="69"/>
      <c r="J2474" s="69"/>
      <c r="K2474" s="69"/>
      <c r="L2474" s="69"/>
      <c r="M2474" s="69"/>
      <c r="N2474" s="69"/>
      <c r="O2474" s="69"/>
      <c r="P2474" s="69"/>
      <c r="Q2474" s="69"/>
      <c r="R2474" s="69"/>
      <c r="S2474" s="69"/>
      <c r="T2474" s="69"/>
      <c r="U2474" s="69"/>
      <c r="V2474" s="69"/>
      <c r="W2474" s="69"/>
    </row>
    <row r="2475" spans="7:23" x14ac:dyDescent="0.3">
      <c r="G2475" s="69"/>
      <c r="H2475" s="69"/>
      <c r="I2475" s="69"/>
      <c r="J2475" s="69"/>
      <c r="K2475" s="69"/>
      <c r="L2475" s="69"/>
      <c r="M2475" s="69"/>
      <c r="N2475" s="69"/>
      <c r="O2475" s="69"/>
      <c r="P2475" s="69"/>
      <c r="Q2475" s="69"/>
      <c r="R2475" s="69"/>
      <c r="S2475" s="69"/>
      <c r="T2475" s="69"/>
      <c r="U2475" s="69"/>
      <c r="V2475" s="69"/>
      <c r="W2475" s="69"/>
    </row>
    <row r="2476" spans="7:23" x14ac:dyDescent="0.3">
      <c r="G2476" s="69"/>
      <c r="H2476" s="69"/>
      <c r="I2476" s="69"/>
      <c r="J2476" s="69"/>
      <c r="K2476" s="69"/>
      <c r="L2476" s="69"/>
      <c r="M2476" s="69"/>
      <c r="N2476" s="69"/>
      <c r="O2476" s="69"/>
      <c r="P2476" s="69"/>
      <c r="Q2476" s="69"/>
      <c r="R2476" s="69"/>
      <c r="S2476" s="69"/>
      <c r="T2476" s="69"/>
      <c r="U2476" s="69"/>
      <c r="V2476" s="69"/>
      <c r="W2476" s="69"/>
    </row>
    <row r="2477" spans="7:23" x14ac:dyDescent="0.3">
      <c r="G2477" s="69"/>
      <c r="H2477" s="69"/>
      <c r="I2477" s="69"/>
      <c r="J2477" s="69"/>
      <c r="K2477" s="69"/>
      <c r="L2477" s="69"/>
      <c r="M2477" s="69"/>
      <c r="N2477" s="69"/>
      <c r="O2477" s="69"/>
      <c r="P2477" s="69"/>
      <c r="Q2477" s="69"/>
      <c r="R2477" s="69"/>
      <c r="S2477" s="69"/>
      <c r="T2477" s="69"/>
      <c r="U2477" s="69"/>
      <c r="V2477" s="69"/>
      <c r="W2477" s="69"/>
    </row>
    <row r="2478" spans="7:23" x14ac:dyDescent="0.3">
      <c r="G2478" s="69"/>
      <c r="H2478" s="69"/>
      <c r="I2478" s="69"/>
      <c r="J2478" s="69"/>
      <c r="K2478" s="69"/>
      <c r="L2478" s="69"/>
      <c r="M2478" s="69"/>
      <c r="N2478" s="69"/>
      <c r="O2478" s="69"/>
      <c r="P2478" s="69"/>
      <c r="Q2478" s="69"/>
      <c r="R2478" s="69"/>
      <c r="S2478" s="69"/>
      <c r="T2478" s="69"/>
      <c r="U2478" s="69"/>
      <c r="V2478" s="69"/>
      <c r="W2478" s="69"/>
    </row>
    <row r="2479" spans="7:23" x14ac:dyDescent="0.3">
      <c r="G2479" s="69"/>
      <c r="H2479" s="69"/>
      <c r="I2479" s="69"/>
      <c r="J2479" s="69"/>
      <c r="K2479" s="69"/>
      <c r="L2479" s="69"/>
      <c r="M2479" s="69"/>
      <c r="N2479" s="69"/>
      <c r="O2479" s="69"/>
      <c r="P2479" s="69"/>
      <c r="Q2479" s="69"/>
      <c r="R2479" s="69"/>
      <c r="S2479" s="69"/>
      <c r="T2479" s="69"/>
      <c r="U2479" s="69"/>
      <c r="V2479" s="69"/>
      <c r="W2479" s="69"/>
    </row>
    <row r="2480" spans="7:23" x14ac:dyDescent="0.3">
      <c r="G2480" s="69"/>
      <c r="H2480" s="69"/>
      <c r="I2480" s="69"/>
      <c r="J2480" s="69"/>
      <c r="K2480" s="69"/>
      <c r="L2480" s="69"/>
      <c r="M2480" s="69"/>
      <c r="N2480" s="69"/>
      <c r="O2480" s="69"/>
      <c r="P2480" s="69"/>
      <c r="Q2480" s="69"/>
      <c r="R2480" s="69"/>
      <c r="S2480" s="69"/>
      <c r="T2480" s="69"/>
      <c r="U2480" s="69"/>
      <c r="V2480" s="69"/>
      <c r="W2480" s="69"/>
    </row>
    <row r="2481" spans="7:23" x14ac:dyDescent="0.3">
      <c r="G2481" s="69"/>
      <c r="H2481" s="69"/>
      <c r="I2481" s="69"/>
      <c r="J2481" s="69"/>
      <c r="K2481" s="69"/>
      <c r="L2481" s="69"/>
      <c r="M2481" s="69"/>
      <c r="N2481" s="69"/>
      <c r="O2481" s="69"/>
      <c r="P2481" s="69"/>
      <c r="Q2481" s="69"/>
      <c r="R2481" s="69"/>
      <c r="S2481" s="69"/>
      <c r="T2481" s="69"/>
      <c r="U2481" s="69"/>
      <c r="V2481" s="69"/>
      <c r="W2481" s="69"/>
    </row>
    <row r="2482" spans="7:23" x14ac:dyDescent="0.3">
      <c r="G2482" s="69"/>
      <c r="H2482" s="69"/>
      <c r="I2482" s="69"/>
      <c r="J2482" s="69"/>
      <c r="K2482" s="69"/>
      <c r="L2482" s="69"/>
      <c r="M2482" s="69"/>
      <c r="N2482" s="69"/>
      <c r="O2482" s="69"/>
      <c r="P2482" s="69"/>
      <c r="Q2482" s="69"/>
      <c r="R2482" s="69"/>
      <c r="S2482" s="69"/>
      <c r="T2482" s="69"/>
      <c r="U2482" s="69"/>
      <c r="V2482" s="69"/>
      <c r="W2482" s="69"/>
    </row>
    <row r="2483" spans="7:23" x14ac:dyDescent="0.3">
      <c r="G2483" s="69"/>
      <c r="H2483" s="69"/>
      <c r="I2483" s="69"/>
      <c r="J2483" s="69"/>
      <c r="K2483" s="69"/>
      <c r="L2483" s="69"/>
      <c r="M2483" s="69"/>
      <c r="N2483" s="69"/>
      <c r="O2483" s="69"/>
      <c r="P2483" s="69"/>
      <c r="Q2483" s="69"/>
      <c r="R2483" s="69"/>
      <c r="S2483" s="69"/>
      <c r="T2483" s="69"/>
      <c r="U2483" s="69"/>
      <c r="V2483" s="69"/>
      <c r="W2483" s="69"/>
    </row>
    <row r="2484" spans="7:23" x14ac:dyDescent="0.3">
      <c r="G2484" s="69"/>
      <c r="H2484" s="69"/>
      <c r="I2484" s="69"/>
      <c r="J2484" s="69"/>
      <c r="K2484" s="69"/>
      <c r="L2484" s="69"/>
      <c r="M2484" s="69"/>
      <c r="N2484" s="69"/>
      <c r="O2484" s="69"/>
      <c r="P2484" s="69"/>
      <c r="Q2484" s="69"/>
      <c r="R2484" s="69"/>
      <c r="S2484" s="69"/>
      <c r="T2484" s="69"/>
      <c r="U2484" s="69"/>
      <c r="V2484" s="69"/>
      <c r="W2484" s="69"/>
    </row>
    <row r="2485" spans="7:23" x14ac:dyDescent="0.3">
      <c r="G2485" s="69"/>
      <c r="H2485" s="69"/>
      <c r="I2485" s="69"/>
      <c r="J2485" s="69"/>
      <c r="K2485" s="69"/>
      <c r="L2485" s="69"/>
      <c r="M2485" s="69"/>
      <c r="N2485" s="69"/>
      <c r="O2485" s="69"/>
      <c r="P2485" s="69"/>
      <c r="Q2485" s="69"/>
      <c r="R2485" s="69"/>
      <c r="S2485" s="69"/>
      <c r="T2485" s="69"/>
      <c r="U2485" s="69"/>
      <c r="V2485" s="69"/>
      <c r="W2485" s="69"/>
    </row>
    <row r="2486" spans="7:23" x14ac:dyDescent="0.3">
      <c r="G2486" s="69"/>
      <c r="H2486" s="69"/>
      <c r="I2486" s="69"/>
      <c r="J2486" s="69"/>
      <c r="K2486" s="69"/>
      <c r="L2486" s="69"/>
      <c r="M2486" s="69"/>
      <c r="N2486" s="69"/>
      <c r="O2486" s="69"/>
      <c r="P2486" s="69"/>
      <c r="Q2486" s="69"/>
      <c r="R2486" s="69"/>
      <c r="S2486" s="69"/>
      <c r="T2486" s="69"/>
      <c r="U2486" s="69"/>
      <c r="V2486" s="69"/>
      <c r="W2486" s="69"/>
    </row>
    <row r="2487" spans="7:23" x14ac:dyDescent="0.3">
      <c r="G2487" s="69"/>
      <c r="H2487" s="69"/>
      <c r="I2487" s="69"/>
      <c r="J2487" s="69"/>
      <c r="K2487" s="69"/>
      <c r="L2487" s="69"/>
      <c r="M2487" s="69"/>
      <c r="N2487" s="69"/>
      <c r="O2487" s="69"/>
      <c r="P2487" s="69"/>
      <c r="Q2487" s="69"/>
      <c r="R2487" s="69"/>
      <c r="S2487" s="69"/>
      <c r="T2487" s="69"/>
      <c r="U2487" s="69"/>
      <c r="V2487" s="69"/>
      <c r="W2487" s="69"/>
    </row>
    <row r="2488" spans="7:23" x14ac:dyDescent="0.3">
      <c r="G2488" s="69"/>
      <c r="H2488" s="69"/>
      <c r="I2488" s="69"/>
      <c r="J2488" s="69"/>
      <c r="K2488" s="69"/>
      <c r="L2488" s="69"/>
      <c r="M2488" s="69"/>
      <c r="N2488" s="69"/>
      <c r="O2488" s="69"/>
      <c r="P2488" s="69"/>
      <c r="Q2488" s="69"/>
      <c r="R2488" s="69"/>
      <c r="S2488" s="69"/>
      <c r="T2488" s="69"/>
      <c r="U2488" s="69"/>
      <c r="V2488" s="69"/>
      <c r="W2488" s="69"/>
    </row>
    <row r="2489" spans="7:23" x14ac:dyDescent="0.3">
      <c r="G2489" s="69"/>
      <c r="H2489" s="69"/>
      <c r="I2489" s="69"/>
      <c r="J2489" s="69"/>
      <c r="K2489" s="69"/>
      <c r="L2489" s="69"/>
      <c r="M2489" s="69"/>
      <c r="N2489" s="69"/>
      <c r="O2489" s="69"/>
      <c r="P2489" s="69"/>
      <c r="Q2489" s="69"/>
      <c r="R2489" s="69"/>
      <c r="S2489" s="69"/>
      <c r="T2489" s="69"/>
      <c r="U2489" s="69"/>
      <c r="V2489" s="69"/>
      <c r="W2489" s="69"/>
    </row>
    <row r="2490" spans="7:23" x14ac:dyDescent="0.3">
      <c r="G2490" s="69"/>
      <c r="H2490" s="69"/>
      <c r="I2490" s="69"/>
      <c r="J2490" s="69"/>
      <c r="K2490" s="69"/>
      <c r="L2490" s="69"/>
      <c r="M2490" s="69"/>
      <c r="N2490" s="69"/>
      <c r="O2490" s="69"/>
      <c r="P2490" s="69"/>
      <c r="Q2490" s="69"/>
      <c r="R2490" s="69"/>
      <c r="S2490" s="69"/>
      <c r="T2490" s="69"/>
      <c r="U2490" s="69"/>
      <c r="V2490" s="69"/>
      <c r="W2490" s="69"/>
    </row>
    <row r="2491" spans="7:23" x14ac:dyDescent="0.3">
      <c r="G2491" s="69"/>
      <c r="H2491" s="69"/>
      <c r="I2491" s="69"/>
      <c r="J2491" s="69"/>
      <c r="K2491" s="69"/>
      <c r="L2491" s="69"/>
      <c r="M2491" s="69"/>
      <c r="N2491" s="69"/>
      <c r="O2491" s="69"/>
      <c r="P2491" s="69"/>
      <c r="Q2491" s="69"/>
      <c r="R2491" s="69"/>
      <c r="S2491" s="69"/>
      <c r="T2491" s="69"/>
      <c r="U2491" s="69"/>
      <c r="V2491" s="69"/>
      <c r="W2491" s="69"/>
    </row>
    <row r="2492" spans="7:23" x14ac:dyDescent="0.3">
      <c r="G2492" s="69"/>
      <c r="H2492" s="69"/>
      <c r="I2492" s="69"/>
      <c r="J2492" s="69"/>
      <c r="K2492" s="69"/>
      <c r="L2492" s="69"/>
      <c r="M2492" s="69"/>
      <c r="N2492" s="69"/>
      <c r="O2492" s="69"/>
      <c r="P2492" s="69"/>
      <c r="Q2492" s="69"/>
      <c r="R2492" s="69"/>
      <c r="S2492" s="69"/>
      <c r="T2492" s="69"/>
      <c r="U2492" s="69"/>
      <c r="V2492" s="69"/>
      <c r="W2492" s="69"/>
    </row>
    <row r="2493" spans="7:23" x14ac:dyDescent="0.3">
      <c r="G2493" s="69"/>
      <c r="H2493" s="69"/>
      <c r="I2493" s="69"/>
      <c r="J2493" s="69"/>
      <c r="K2493" s="69"/>
      <c r="L2493" s="69"/>
      <c r="M2493" s="69"/>
      <c r="N2493" s="69"/>
      <c r="O2493" s="69"/>
      <c r="P2493" s="69"/>
      <c r="Q2493" s="69"/>
      <c r="R2493" s="69"/>
      <c r="S2493" s="69"/>
      <c r="T2493" s="69"/>
      <c r="U2493" s="69"/>
      <c r="V2493" s="69"/>
      <c r="W2493" s="69"/>
    </row>
    <row r="2494" spans="7:23" x14ac:dyDescent="0.3">
      <c r="G2494" s="69"/>
      <c r="H2494" s="69"/>
      <c r="I2494" s="69"/>
      <c r="J2494" s="69"/>
      <c r="K2494" s="69"/>
      <c r="L2494" s="69"/>
      <c r="M2494" s="69"/>
      <c r="N2494" s="69"/>
      <c r="O2494" s="69"/>
      <c r="P2494" s="69"/>
      <c r="Q2494" s="69"/>
      <c r="R2494" s="69"/>
      <c r="S2494" s="69"/>
      <c r="T2494" s="69"/>
      <c r="U2494" s="69"/>
      <c r="V2494" s="69"/>
      <c r="W2494" s="69"/>
    </row>
    <row r="2495" spans="7:23" x14ac:dyDescent="0.3">
      <c r="G2495" s="69"/>
      <c r="H2495" s="69"/>
      <c r="I2495" s="69"/>
      <c r="J2495" s="69"/>
      <c r="K2495" s="69"/>
      <c r="L2495" s="69"/>
      <c r="M2495" s="69"/>
      <c r="N2495" s="69"/>
      <c r="O2495" s="69"/>
      <c r="P2495" s="69"/>
      <c r="Q2495" s="69"/>
      <c r="R2495" s="69"/>
      <c r="S2495" s="69"/>
      <c r="T2495" s="69"/>
      <c r="U2495" s="69"/>
      <c r="V2495" s="69"/>
      <c r="W2495" s="69"/>
    </row>
    <row r="2496" spans="7:23" x14ac:dyDescent="0.3">
      <c r="G2496" s="69"/>
      <c r="H2496" s="69"/>
      <c r="I2496" s="69"/>
      <c r="J2496" s="69"/>
      <c r="K2496" s="69"/>
      <c r="L2496" s="69"/>
      <c r="M2496" s="69"/>
      <c r="N2496" s="69"/>
      <c r="O2496" s="69"/>
      <c r="P2496" s="69"/>
      <c r="Q2496" s="69"/>
      <c r="R2496" s="69"/>
      <c r="S2496" s="69"/>
      <c r="T2496" s="69"/>
      <c r="U2496" s="69"/>
      <c r="V2496" s="69"/>
      <c r="W2496" s="69"/>
    </row>
    <row r="2497" spans="1:23" x14ac:dyDescent="0.3">
      <c r="G2497" s="69"/>
      <c r="H2497" s="69"/>
      <c r="I2497" s="69"/>
      <c r="J2497" s="69"/>
      <c r="K2497" s="69"/>
      <c r="L2497" s="69"/>
      <c r="M2497" s="69"/>
      <c r="N2497" s="69"/>
      <c r="O2497" s="69"/>
      <c r="P2497" s="69"/>
      <c r="Q2497" s="69"/>
      <c r="R2497" s="69"/>
      <c r="S2497" s="69"/>
      <c r="T2497" s="69"/>
      <c r="U2497" s="69"/>
      <c r="V2497" s="69"/>
      <c r="W2497" s="69"/>
    </row>
    <row r="2498" spans="1:23" x14ac:dyDescent="0.3">
      <c r="G2498" s="69"/>
      <c r="H2498" s="69"/>
      <c r="I2498" s="69"/>
      <c r="J2498" s="69"/>
      <c r="K2498" s="69"/>
      <c r="L2498" s="69"/>
      <c r="M2498" s="69"/>
      <c r="N2498" s="69"/>
      <c r="O2498" s="69"/>
      <c r="P2498" s="69"/>
      <c r="Q2498" s="69"/>
      <c r="R2498" s="69"/>
      <c r="S2498" s="69"/>
      <c r="T2498" s="69"/>
      <c r="U2498" s="69"/>
      <c r="V2498" s="69"/>
      <c r="W2498" s="69"/>
    </row>
    <row r="2499" spans="1:23" x14ac:dyDescent="0.3">
      <c r="G2499" s="69"/>
      <c r="H2499" s="69"/>
      <c r="I2499" s="69"/>
      <c r="J2499" s="69"/>
      <c r="K2499" s="69"/>
      <c r="L2499" s="69"/>
      <c r="M2499" s="69"/>
      <c r="N2499" s="69"/>
      <c r="O2499" s="69"/>
      <c r="P2499" s="69"/>
      <c r="Q2499" s="69"/>
      <c r="R2499" s="69"/>
      <c r="S2499" s="69"/>
      <c r="T2499" s="69"/>
      <c r="U2499" s="69"/>
      <c r="V2499" s="69"/>
      <c r="W2499" s="69"/>
    </row>
    <row r="2500" spans="1:23" ht="21" x14ac:dyDescent="0.4">
      <c r="A2500" s="48"/>
      <c r="G2500" s="69"/>
      <c r="H2500" s="69"/>
      <c r="I2500" s="69"/>
      <c r="J2500" s="69"/>
      <c r="K2500" s="69"/>
      <c r="L2500" s="69"/>
      <c r="M2500" s="69"/>
      <c r="N2500" s="69"/>
      <c r="O2500" s="69"/>
      <c r="P2500" s="69"/>
      <c r="Q2500" s="69"/>
      <c r="R2500" s="69"/>
      <c r="S2500" s="69"/>
      <c r="T2500" s="69"/>
      <c r="U2500" s="69"/>
      <c r="V2500" s="69"/>
      <c r="W2500" s="69"/>
    </row>
    <row r="2501" spans="1:23" x14ac:dyDescent="0.3">
      <c r="G2501" s="69"/>
      <c r="H2501" s="69"/>
      <c r="I2501" s="69"/>
      <c r="J2501" s="69"/>
      <c r="K2501" s="69"/>
      <c r="L2501" s="69"/>
      <c r="M2501" s="69"/>
      <c r="N2501" s="69"/>
      <c r="O2501" s="69"/>
      <c r="P2501" s="69"/>
      <c r="Q2501" s="69"/>
      <c r="R2501" s="69"/>
      <c r="S2501" s="69"/>
      <c r="T2501" s="69"/>
      <c r="U2501" s="69"/>
      <c r="V2501" s="69"/>
      <c r="W2501" s="69"/>
    </row>
    <row r="2502" spans="1:23" x14ac:dyDescent="0.3">
      <c r="G2502" s="69"/>
      <c r="H2502" s="69"/>
      <c r="I2502" s="69"/>
      <c r="J2502" s="69"/>
      <c r="K2502" s="69"/>
      <c r="L2502" s="69"/>
      <c r="M2502" s="69"/>
      <c r="N2502" s="69"/>
      <c r="O2502" s="69"/>
      <c r="P2502" s="69"/>
      <c r="Q2502" s="69"/>
      <c r="R2502" s="69"/>
      <c r="S2502" s="69"/>
      <c r="T2502" s="69"/>
      <c r="U2502" s="69"/>
      <c r="V2502" s="69"/>
      <c r="W2502" s="69"/>
    </row>
    <row r="2503" spans="1:23" x14ac:dyDescent="0.3">
      <c r="G2503" s="69"/>
      <c r="H2503" s="69"/>
      <c r="I2503" s="69"/>
      <c r="J2503" s="69"/>
      <c r="K2503" s="69"/>
      <c r="L2503" s="69"/>
      <c r="M2503" s="69"/>
      <c r="N2503" s="69"/>
      <c r="O2503" s="69"/>
      <c r="P2503" s="69"/>
      <c r="Q2503" s="69"/>
      <c r="R2503" s="69"/>
      <c r="S2503" s="69"/>
      <c r="T2503" s="69"/>
      <c r="U2503" s="69"/>
      <c r="V2503" s="69"/>
      <c r="W2503" s="69"/>
    </row>
    <row r="2504" spans="1:23" x14ac:dyDescent="0.3">
      <c r="G2504" s="69"/>
      <c r="H2504" s="69"/>
      <c r="I2504" s="69"/>
      <c r="J2504" s="69"/>
      <c r="K2504" s="69"/>
      <c r="L2504" s="69"/>
      <c r="M2504" s="69"/>
      <c r="N2504" s="69"/>
      <c r="O2504" s="69"/>
      <c r="P2504" s="69"/>
      <c r="Q2504" s="69"/>
      <c r="R2504" s="69"/>
      <c r="S2504" s="69"/>
      <c r="T2504" s="69"/>
      <c r="U2504" s="69"/>
      <c r="V2504" s="69"/>
      <c r="W2504" s="69"/>
    </row>
    <row r="2505" spans="1:23" x14ac:dyDescent="0.3">
      <c r="G2505" s="69"/>
      <c r="H2505" s="69"/>
      <c r="I2505" s="69"/>
      <c r="J2505" s="69"/>
      <c r="K2505" s="69"/>
      <c r="L2505" s="69"/>
      <c r="M2505" s="69"/>
      <c r="N2505" s="69"/>
      <c r="O2505" s="69"/>
      <c r="P2505" s="69"/>
      <c r="Q2505" s="69"/>
      <c r="R2505" s="69"/>
      <c r="S2505" s="69"/>
      <c r="T2505" s="69"/>
      <c r="U2505" s="69"/>
      <c r="V2505" s="69"/>
      <c r="W2505" s="69"/>
    </row>
    <row r="2506" spans="1:23" x14ac:dyDescent="0.3">
      <c r="G2506" s="69"/>
      <c r="H2506" s="69"/>
      <c r="I2506" s="69"/>
      <c r="J2506" s="69"/>
      <c r="K2506" s="69"/>
      <c r="L2506" s="69"/>
      <c r="M2506" s="69"/>
      <c r="N2506" s="69"/>
      <c r="O2506" s="69"/>
      <c r="P2506" s="69"/>
      <c r="Q2506" s="69"/>
      <c r="R2506" s="69"/>
      <c r="S2506" s="69"/>
      <c r="T2506" s="69"/>
      <c r="U2506" s="69"/>
      <c r="V2506" s="69"/>
      <c r="W2506" s="69"/>
    </row>
    <row r="2507" spans="1:23" x14ac:dyDescent="0.3">
      <c r="G2507" s="69"/>
      <c r="H2507" s="69"/>
      <c r="I2507" s="69"/>
      <c r="J2507" s="69"/>
      <c r="K2507" s="69"/>
      <c r="L2507" s="69"/>
      <c r="M2507" s="69"/>
      <c r="N2507" s="69"/>
      <c r="O2507" s="69"/>
      <c r="P2507" s="69"/>
      <c r="Q2507" s="69"/>
      <c r="R2507" s="69"/>
      <c r="S2507" s="69"/>
      <c r="T2507" s="69"/>
      <c r="U2507" s="69"/>
      <c r="V2507" s="69"/>
      <c r="W2507" s="69"/>
    </row>
    <row r="2508" spans="1:23" x14ac:dyDescent="0.3">
      <c r="G2508" s="69"/>
      <c r="H2508" s="69"/>
      <c r="I2508" s="69"/>
      <c r="J2508" s="69"/>
      <c r="K2508" s="69"/>
      <c r="L2508" s="69"/>
      <c r="M2508" s="69"/>
      <c r="N2508" s="69"/>
      <c r="O2508" s="69"/>
      <c r="P2508" s="69"/>
      <c r="Q2508" s="69"/>
      <c r="R2508" s="69"/>
      <c r="S2508" s="69"/>
      <c r="T2508" s="69"/>
      <c r="U2508" s="69"/>
      <c r="V2508" s="69"/>
      <c r="W2508" s="69"/>
    </row>
    <row r="2509" spans="1:23" x14ac:dyDescent="0.3">
      <c r="G2509" s="69"/>
      <c r="H2509" s="69"/>
      <c r="I2509" s="69"/>
      <c r="J2509" s="69"/>
      <c r="K2509" s="69"/>
      <c r="L2509" s="69"/>
      <c r="M2509" s="69"/>
      <c r="N2509" s="69"/>
      <c r="O2509" s="69"/>
      <c r="P2509" s="69"/>
      <c r="Q2509" s="69"/>
      <c r="R2509" s="69"/>
      <c r="S2509" s="69"/>
      <c r="T2509" s="69"/>
      <c r="U2509" s="69"/>
      <c r="V2509" s="69"/>
      <c r="W2509" s="69"/>
    </row>
    <row r="2510" spans="1:23" x14ac:dyDescent="0.3">
      <c r="G2510" s="69"/>
      <c r="H2510" s="69"/>
      <c r="I2510" s="69"/>
      <c r="J2510" s="69"/>
      <c r="K2510" s="69"/>
      <c r="L2510" s="69"/>
      <c r="M2510" s="69"/>
      <c r="N2510" s="69"/>
      <c r="O2510" s="69"/>
      <c r="P2510" s="69"/>
      <c r="Q2510" s="69"/>
      <c r="R2510" s="69"/>
      <c r="S2510" s="69"/>
      <c r="T2510" s="69"/>
      <c r="U2510" s="69"/>
      <c r="V2510" s="69"/>
      <c r="W2510" s="69"/>
    </row>
    <row r="2511" spans="1:23" x14ac:dyDescent="0.3">
      <c r="G2511" s="69"/>
      <c r="H2511" s="69"/>
      <c r="I2511" s="69"/>
      <c r="J2511" s="69"/>
      <c r="K2511" s="69"/>
      <c r="L2511" s="69"/>
      <c r="M2511" s="69"/>
      <c r="N2511" s="69"/>
      <c r="O2511" s="69"/>
      <c r="P2511" s="69"/>
      <c r="Q2511" s="69"/>
      <c r="R2511" s="69"/>
      <c r="S2511" s="69"/>
      <c r="T2511" s="69"/>
      <c r="U2511" s="69"/>
      <c r="V2511" s="69"/>
      <c r="W2511" s="69"/>
    </row>
    <row r="2512" spans="1:23" x14ac:dyDescent="0.3">
      <c r="G2512" s="69"/>
      <c r="H2512" s="69"/>
      <c r="I2512" s="69"/>
      <c r="J2512" s="69"/>
      <c r="K2512" s="69"/>
      <c r="L2512" s="69"/>
      <c r="M2512" s="69"/>
      <c r="N2512" s="69"/>
      <c r="O2512" s="69"/>
      <c r="P2512" s="69"/>
      <c r="Q2512" s="69"/>
      <c r="R2512" s="69"/>
      <c r="S2512" s="69"/>
      <c r="T2512" s="69"/>
      <c r="U2512" s="69"/>
      <c r="V2512" s="69"/>
      <c r="W2512" s="69"/>
    </row>
    <row r="2513" spans="7:23" x14ac:dyDescent="0.3">
      <c r="G2513" s="69"/>
      <c r="H2513" s="69"/>
      <c r="I2513" s="69"/>
      <c r="J2513" s="69"/>
      <c r="K2513" s="69"/>
      <c r="L2513" s="69"/>
      <c r="M2513" s="69"/>
      <c r="N2513" s="69"/>
      <c r="O2513" s="69"/>
      <c r="P2513" s="69"/>
      <c r="Q2513" s="69"/>
      <c r="R2513" s="69"/>
      <c r="S2513" s="69"/>
      <c r="T2513" s="69"/>
      <c r="U2513" s="69"/>
      <c r="V2513" s="69"/>
      <c r="W2513" s="69"/>
    </row>
    <row r="2514" spans="7:23" x14ac:dyDescent="0.3">
      <c r="G2514" s="69"/>
      <c r="H2514" s="69"/>
      <c r="I2514" s="69"/>
      <c r="J2514" s="69"/>
      <c r="K2514" s="69"/>
      <c r="L2514" s="69"/>
      <c r="M2514" s="69"/>
      <c r="N2514" s="69"/>
      <c r="O2514" s="69"/>
      <c r="P2514" s="69"/>
      <c r="Q2514" s="69"/>
      <c r="R2514" s="69"/>
      <c r="S2514" s="69"/>
      <c r="T2514" s="69"/>
      <c r="U2514" s="69"/>
      <c r="V2514" s="69"/>
      <c r="W2514" s="69"/>
    </row>
    <row r="2515" spans="7:23" x14ac:dyDescent="0.3">
      <c r="G2515" s="69"/>
      <c r="H2515" s="69"/>
      <c r="I2515" s="69"/>
      <c r="J2515" s="69"/>
      <c r="K2515" s="69"/>
      <c r="L2515" s="69"/>
      <c r="M2515" s="69"/>
      <c r="N2515" s="69"/>
      <c r="O2515" s="69"/>
      <c r="P2515" s="69"/>
      <c r="Q2515" s="69"/>
      <c r="R2515" s="69"/>
      <c r="S2515" s="69"/>
      <c r="T2515" s="69"/>
      <c r="U2515" s="69"/>
      <c r="V2515" s="69"/>
      <c r="W2515" s="69"/>
    </row>
    <row r="2516" spans="7:23" x14ac:dyDescent="0.3">
      <c r="G2516" s="69"/>
      <c r="H2516" s="69"/>
      <c r="I2516" s="69"/>
      <c r="J2516" s="69"/>
      <c r="K2516" s="69"/>
      <c r="L2516" s="69"/>
      <c r="M2516" s="69"/>
      <c r="N2516" s="69"/>
      <c r="O2516" s="69"/>
      <c r="P2516" s="69"/>
      <c r="Q2516" s="69"/>
      <c r="R2516" s="69"/>
      <c r="S2516" s="69"/>
      <c r="T2516" s="69"/>
      <c r="U2516" s="69"/>
      <c r="V2516" s="69"/>
      <c r="W2516" s="69"/>
    </row>
    <row r="2517" spans="7:23" x14ac:dyDescent="0.3">
      <c r="G2517" s="69"/>
      <c r="H2517" s="69"/>
      <c r="I2517" s="69"/>
      <c r="J2517" s="69"/>
      <c r="K2517" s="69"/>
      <c r="L2517" s="69"/>
      <c r="M2517" s="69"/>
      <c r="N2517" s="69"/>
      <c r="O2517" s="69"/>
      <c r="P2517" s="69"/>
      <c r="Q2517" s="69"/>
      <c r="R2517" s="69"/>
      <c r="S2517" s="69"/>
      <c r="T2517" s="69"/>
      <c r="U2517" s="69"/>
      <c r="V2517" s="69"/>
      <c r="W2517" s="69"/>
    </row>
    <row r="2518" spans="7:23" x14ac:dyDescent="0.3">
      <c r="G2518" s="69"/>
      <c r="H2518" s="69"/>
      <c r="I2518" s="69"/>
      <c r="J2518" s="69"/>
      <c r="K2518" s="69"/>
      <c r="L2518" s="69"/>
      <c r="M2518" s="69"/>
      <c r="N2518" s="69"/>
      <c r="O2518" s="69"/>
      <c r="P2518" s="69"/>
      <c r="Q2518" s="69"/>
      <c r="R2518" s="69"/>
      <c r="S2518" s="69"/>
      <c r="T2518" s="69"/>
      <c r="U2518" s="69"/>
      <c r="V2518" s="69"/>
      <c r="W2518" s="69"/>
    </row>
    <row r="2519" spans="7:23" x14ac:dyDescent="0.3">
      <c r="G2519" s="69"/>
      <c r="H2519" s="69"/>
      <c r="I2519" s="69"/>
      <c r="J2519" s="69"/>
      <c r="K2519" s="69"/>
      <c r="L2519" s="69"/>
      <c r="M2519" s="69"/>
      <c r="N2519" s="69"/>
      <c r="O2519" s="69"/>
      <c r="P2519" s="69"/>
      <c r="Q2519" s="69"/>
      <c r="R2519" s="69"/>
      <c r="S2519" s="69"/>
      <c r="T2519" s="69"/>
      <c r="U2519" s="69"/>
      <c r="V2519" s="69"/>
      <c r="W2519" s="69"/>
    </row>
    <row r="2520" spans="7:23" x14ac:dyDescent="0.3">
      <c r="G2520" s="69"/>
      <c r="H2520" s="69"/>
      <c r="I2520" s="69"/>
      <c r="J2520" s="69"/>
      <c r="K2520" s="69"/>
      <c r="L2520" s="69"/>
      <c r="M2520" s="69"/>
      <c r="N2520" s="69"/>
      <c r="O2520" s="69"/>
      <c r="P2520" s="69"/>
      <c r="Q2520" s="69"/>
      <c r="R2520" s="69"/>
      <c r="S2520" s="69"/>
      <c r="T2520" s="69"/>
      <c r="U2520" s="69"/>
      <c r="V2520" s="69"/>
      <c r="W2520" s="69"/>
    </row>
    <row r="2521" spans="7:23" x14ac:dyDescent="0.3">
      <c r="G2521" s="69"/>
      <c r="H2521" s="69"/>
      <c r="I2521" s="69"/>
      <c r="J2521" s="69"/>
      <c r="K2521" s="69"/>
      <c r="L2521" s="69"/>
      <c r="M2521" s="69"/>
      <c r="N2521" s="69"/>
      <c r="O2521" s="69"/>
      <c r="P2521" s="69"/>
      <c r="Q2521" s="69"/>
      <c r="R2521" s="69"/>
      <c r="S2521" s="69"/>
      <c r="T2521" s="69"/>
      <c r="U2521" s="69"/>
      <c r="V2521" s="69"/>
      <c r="W2521" s="69"/>
    </row>
    <row r="2522" spans="7:23" x14ac:dyDescent="0.3">
      <c r="G2522" s="69"/>
      <c r="H2522" s="69"/>
      <c r="I2522" s="69"/>
      <c r="J2522" s="69"/>
      <c r="K2522" s="69"/>
      <c r="L2522" s="69"/>
      <c r="M2522" s="69"/>
      <c r="N2522" s="69"/>
      <c r="O2522" s="69"/>
      <c r="P2522" s="69"/>
      <c r="Q2522" s="69"/>
      <c r="R2522" s="69"/>
      <c r="S2522" s="69"/>
      <c r="T2522" s="69"/>
      <c r="U2522" s="69"/>
      <c r="V2522" s="69"/>
      <c r="W2522" s="69"/>
    </row>
    <row r="2523" spans="7:23" x14ac:dyDescent="0.3">
      <c r="G2523" s="69"/>
      <c r="H2523" s="69"/>
      <c r="I2523" s="69"/>
      <c r="J2523" s="69"/>
      <c r="K2523" s="69"/>
      <c r="L2523" s="69"/>
      <c r="M2523" s="69"/>
      <c r="N2523" s="69"/>
      <c r="O2523" s="69"/>
      <c r="P2523" s="69"/>
      <c r="Q2523" s="69"/>
      <c r="R2523" s="69"/>
      <c r="S2523" s="69"/>
      <c r="T2523" s="69"/>
      <c r="U2523" s="69"/>
      <c r="V2523" s="69"/>
      <c r="W2523" s="69"/>
    </row>
    <row r="2524" spans="7:23" x14ac:dyDescent="0.3">
      <c r="G2524" s="69"/>
      <c r="H2524" s="69"/>
      <c r="I2524" s="69"/>
      <c r="J2524" s="69"/>
      <c r="K2524" s="69"/>
      <c r="L2524" s="69"/>
      <c r="M2524" s="69"/>
      <c r="N2524" s="69"/>
      <c r="O2524" s="69"/>
      <c r="P2524" s="69"/>
      <c r="Q2524" s="69"/>
      <c r="R2524" s="69"/>
      <c r="S2524" s="69"/>
      <c r="T2524" s="69"/>
      <c r="U2524" s="69"/>
      <c r="V2524" s="69"/>
      <c r="W2524" s="69"/>
    </row>
    <row r="2525" spans="7:23" x14ac:dyDescent="0.3">
      <c r="G2525" s="69"/>
      <c r="H2525" s="69"/>
      <c r="I2525" s="69"/>
      <c r="J2525" s="69"/>
      <c r="K2525" s="69"/>
      <c r="L2525" s="69"/>
      <c r="M2525" s="69"/>
      <c r="N2525" s="69"/>
      <c r="O2525" s="69"/>
      <c r="P2525" s="69"/>
      <c r="Q2525" s="69"/>
      <c r="R2525" s="69"/>
      <c r="S2525" s="69"/>
      <c r="T2525" s="69"/>
      <c r="U2525" s="69"/>
      <c r="V2525" s="69"/>
      <c r="W2525" s="69"/>
    </row>
    <row r="2526" spans="7:23" x14ac:dyDescent="0.3">
      <c r="G2526" s="69"/>
      <c r="H2526" s="69"/>
      <c r="I2526" s="69"/>
      <c r="J2526" s="69"/>
      <c r="K2526" s="69"/>
      <c r="L2526" s="69"/>
      <c r="M2526" s="69"/>
      <c r="N2526" s="69"/>
      <c r="O2526" s="69"/>
      <c r="P2526" s="69"/>
      <c r="Q2526" s="69"/>
      <c r="R2526" s="69"/>
      <c r="S2526" s="69"/>
      <c r="T2526" s="69"/>
      <c r="U2526" s="69"/>
      <c r="V2526" s="69"/>
      <c r="W2526" s="69"/>
    </row>
    <row r="2527" spans="7:23" x14ac:dyDescent="0.3">
      <c r="G2527" s="69"/>
      <c r="H2527" s="69"/>
      <c r="I2527" s="69"/>
      <c r="J2527" s="69"/>
      <c r="K2527" s="69"/>
      <c r="L2527" s="69"/>
      <c r="M2527" s="69"/>
      <c r="N2527" s="69"/>
      <c r="O2527" s="69"/>
      <c r="P2527" s="69"/>
      <c r="Q2527" s="69"/>
      <c r="R2527" s="69"/>
      <c r="S2527" s="69"/>
      <c r="T2527" s="69"/>
      <c r="U2527" s="69"/>
      <c r="V2527" s="69"/>
      <c r="W2527" s="69"/>
    </row>
    <row r="2528" spans="7:23" x14ac:dyDescent="0.3">
      <c r="G2528" s="69"/>
      <c r="H2528" s="69"/>
      <c r="I2528" s="69"/>
      <c r="J2528" s="69"/>
      <c r="K2528" s="69"/>
      <c r="L2528" s="69"/>
      <c r="M2528" s="69"/>
      <c r="N2528" s="69"/>
      <c r="O2528" s="69"/>
      <c r="P2528" s="69"/>
      <c r="Q2528" s="69"/>
      <c r="R2528" s="69"/>
      <c r="S2528" s="69"/>
      <c r="T2528" s="69"/>
      <c r="U2528" s="69"/>
      <c r="V2528" s="69"/>
      <c r="W2528" s="69"/>
    </row>
    <row r="2529" spans="7:23" x14ac:dyDescent="0.3">
      <c r="G2529" s="69"/>
      <c r="H2529" s="69"/>
      <c r="I2529" s="69"/>
      <c r="J2529" s="69"/>
      <c r="K2529" s="69"/>
      <c r="L2529" s="69"/>
      <c r="M2529" s="69"/>
      <c r="N2529" s="69"/>
      <c r="O2529" s="69"/>
      <c r="P2529" s="69"/>
      <c r="Q2529" s="69"/>
      <c r="R2529" s="69"/>
      <c r="S2529" s="69"/>
      <c r="T2529" s="69"/>
      <c r="U2529" s="69"/>
      <c r="V2529" s="69"/>
      <c r="W2529" s="69"/>
    </row>
    <row r="2530" spans="7:23" x14ac:dyDescent="0.3">
      <c r="G2530" s="69"/>
      <c r="H2530" s="69"/>
      <c r="I2530" s="69"/>
      <c r="J2530" s="69"/>
      <c r="K2530" s="69"/>
      <c r="L2530" s="69"/>
      <c r="M2530" s="69"/>
      <c r="N2530" s="69"/>
      <c r="O2530" s="69"/>
      <c r="P2530" s="69"/>
      <c r="Q2530" s="69"/>
      <c r="R2530" s="69"/>
      <c r="S2530" s="69"/>
      <c r="T2530" s="69"/>
      <c r="U2530" s="69"/>
      <c r="V2530" s="69"/>
      <c r="W2530" s="69"/>
    </row>
    <row r="2531" spans="7:23" x14ac:dyDescent="0.3">
      <c r="G2531" s="69"/>
      <c r="H2531" s="69"/>
      <c r="I2531" s="69"/>
      <c r="J2531" s="69"/>
      <c r="K2531" s="69"/>
      <c r="L2531" s="69"/>
      <c r="M2531" s="69"/>
      <c r="N2531" s="69"/>
      <c r="O2531" s="69"/>
      <c r="P2531" s="69"/>
      <c r="Q2531" s="69"/>
      <c r="R2531" s="69"/>
      <c r="S2531" s="69"/>
      <c r="T2531" s="69"/>
      <c r="U2531" s="69"/>
      <c r="V2531" s="69"/>
      <c r="W2531" s="69"/>
    </row>
    <row r="2532" spans="7:23" x14ac:dyDescent="0.3">
      <c r="G2532" s="69"/>
      <c r="H2532" s="69"/>
      <c r="I2532" s="69"/>
      <c r="J2532" s="69"/>
      <c r="K2532" s="69"/>
      <c r="L2532" s="69"/>
      <c r="M2532" s="69"/>
      <c r="N2532" s="69"/>
      <c r="O2532" s="69"/>
      <c r="P2532" s="69"/>
      <c r="Q2532" s="69"/>
      <c r="R2532" s="69"/>
      <c r="S2532" s="69"/>
      <c r="T2532" s="69"/>
      <c r="U2532" s="69"/>
      <c r="V2532" s="69"/>
      <c r="W2532" s="69"/>
    </row>
    <row r="2533" spans="7:23" x14ac:dyDescent="0.3">
      <c r="G2533" s="69"/>
      <c r="H2533" s="69"/>
      <c r="I2533" s="69"/>
      <c r="J2533" s="69"/>
      <c r="K2533" s="69"/>
      <c r="L2533" s="69"/>
      <c r="M2533" s="69"/>
      <c r="N2533" s="69"/>
      <c r="O2533" s="69"/>
      <c r="P2533" s="69"/>
      <c r="Q2533" s="69"/>
      <c r="R2533" s="69"/>
      <c r="S2533" s="69"/>
      <c r="T2533" s="69"/>
      <c r="U2533" s="69"/>
      <c r="V2533" s="69"/>
      <c r="W2533" s="69"/>
    </row>
    <row r="2534" spans="7:23" x14ac:dyDescent="0.3">
      <c r="G2534" s="69"/>
      <c r="H2534" s="69"/>
      <c r="I2534" s="69"/>
      <c r="J2534" s="69"/>
      <c r="K2534" s="69"/>
      <c r="L2534" s="69"/>
      <c r="M2534" s="69"/>
      <c r="N2534" s="69"/>
      <c r="O2534" s="69"/>
      <c r="P2534" s="69"/>
      <c r="Q2534" s="69"/>
      <c r="R2534" s="69"/>
      <c r="S2534" s="69"/>
      <c r="T2534" s="69"/>
      <c r="U2534" s="69"/>
      <c r="V2534" s="69"/>
      <c r="W2534" s="69"/>
    </row>
    <row r="2535" spans="7:23" x14ac:dyDescent="0.3">
      <c r="G2535" s="69"/>
      <c r="H2535" s="69"/>
      <c r="I2535" s="69"/>
      <c r="J2535" s="69"/>
      <c r="K2535" s="69"/>
      <c r="L2535" s="69"/>
      <c r="M2535" s="69"/>
      <c r="N2535" s="69"/>
      <c r="O2535" s="69"/>
      <c r="P2535" s="69"/>
      <c r="Q2535" s="69"/>
      <c r="R2535" s="69"/>
      <c r="S2535" s="69"/>
      <c r="T2535" s="69"/>
      <c r="U2535" s="69"/>
      <c r="V2535" s="69"/>
      <c r="W2535" s="69"/>
    </row>
    <row r="2536" spans="7:23" x14ac:dyDescent="0.3">
      <c r="G2536" s="69"/>
      <c r="H2536" s="69"/>
      <c r="I2536" s="69"/>
      <c r="J2536" s="69"/>
      <c r="K2536" s="69"/>
      <c r="L2536" s="69"/>
      <c r="M2536" s="69"/>
      <c r="N2536" s="69"/>
      <c r="O2536" s="69"/>
      <c r="P2536" s="69"/>
      <c r="Q2536" s="69"/>
      <c r="R2536" s="69"/>
      <c r="S2536" s="69"/>
      <c r="T2536" s="69"/>
      <c r="U2536" s="69"/>
      <c r="V2536" s="69"/>
      <c r="W2536" s="69"/>
    </row>
    <row r="2537" spans="7:23" x14ac:dyDescent="0.3">
      <c r="G2537" s="69"/>
      <c r="H2537" s="69"/>
      <c r="I2537" s="69"/>
      <c r="J2537" s="69"/>
      <c r="K2537" s="69"/>
      <c r="L2537" s="69"/>
      <c r="M2537" s="69"/>
      <c r="N2537" s="69"/>
      <c r="O2537" s="69"/>
      <c r="P2537" s="69"/>
      <c r="Q2537" s="69"/>
      <c r="R2537" s="69"/>
      <c r="S2537" s="69"/>
      <c r="T2537" s="69"/>
      <c r="U2537" s="69"/>
      <c r="V2537" s="69"/>
      <c r="W2537" s="69"/>
    </row>
    <row r="2538" spans="7:23" x14ac:dyDescent="0.3">
      <c r="G2538" s="69"/>
      <c r="H2538" s="69"/>
      <c r="I2538" s="69"/>
      <c r="J2538" s="69"/>
      <c r="K2538" s="69"/>
      <c r="L2538" s="69"/>
      <c r="M2538" s="69"/>
      <c r="N2538" s="69"/>
      <c r="O2538" s="69"/>
      <c r="P2538" s="69"/>
      <c r="Q2538" s="69"/>
      <c r="R2538" s="69"/>
      <c r="S2538" s="69"/>
      <c r="T2538" s="69"/>
      <c r="U2538" s="69"/>
      <c r="V2538" s="69"/>
      <c r="W2538" s="69"/>
    </row>
    <row r="2539" spans="7:23" x14ac:dyDescent="0.3">
      <c r="G2539" s="69"/>
      <c r="H2539" s="69"/>
      <c r="I2539" s="69"/>
      <c r="J2539" s="69"/>
      <c r="K2539" s="69"/>
      <c r="L2539" s="69"/>
      <c r="M2539" s="69"/>
      <c r="N2539" s="69"/>
      <c r="O2539" s="69"/>
      <c r="P2539" s="69"/>
      <c r="Q2539" s="69"/>
      <c r="R2539" s="69"/>
      <c r="S2539" s="69"/>
      <c r="T2539" s="69"/>
      <c r="U2539" s="69"/>
      <c r="V2539" s="69"/>
      <c r="W2539" s="69"/>
    </row>
    <row r="2540" spans="7:23" x14ac:dyDescent="0.3">
      <c r="G2540" s="69"/>
      <c r="H2540" s="69"/>
      <c r="I2540" s="69"/>
      <c r="J2540" s="69"/>
      <c r="K2540" s="69"/>
      <c r="L2540" s="69"/>
      <c r="M2540" s="69"/>
      <c r="N2540" s="69"/>
      <c r="O2540" s="69"/>
      <c r="P2540" s="69"/>
      <c r="Q2540" s="69"/>
      <c r="R2540" s="69"/>
      <c r="S2540" s="69"/>
      <c r="T2540" s="69"/>
      <c r="U2540" s="69"/>
      <c r="V2540" s="69"/>
      <c r="W2540" s="69"/>
    </row>
    <row r="2541" spans="7:23" x14ac:dyDescent="0.3">
      <c r="G2541" s="69"/>
      <c r="H2541" s="69"/>
      <c r="I2541" s="69"/>
      <c r="J2541" s="69"/>
      <c r="K2541" s="69"/>
      <c r="L2541" s="69"/>
      <c r="M2541" s="69"/>
      <c r="N2541" s="69"/>
      <c r="O2541" s="69"/>
      <c r="P2541" s="69"/>
      <c r="Q2541" s="69"/>
      <c r="R2541" s="69"/>
      <c r="S2541" s="69"/>
      <c r="T2541" s="69"/>
      <c r="U2541" s="69"/>
      <c r="V2541" s="69"/>
      <c r="W2541" s="69"/>
    </row>
    <row r="2542" spans="7:23" x14ac:dyDescent="0.3">
      <c r="G2542" s="69"/>
      <c r="H2542" s="69"/>
      <c r="I2542" s="69"/>
      <c r="J2542" s="69"/>
      <c r="K2542" s="69"/>
      <c r="L2542" s="69"/>
      <c r="M2542" s="69"/>
      <c r="N2542" s="69"/>
      <c r="O2542" s="69"/>
      <c r="P2542" s="69"/>
      <c r="Q2542" s="69"/>
      <c r="R2542" s="69"/>
      <c r="S2542" s="69"/>
      <c r="T2542" s="69"/>
      <c r="U2542" s="69"/>
      <c r="V2542" s="69"/>
      <c r="W2542" s="69"/>
    </row>
    <row r="2543" spans="7:23" x14ac:dyDescent="0.3">
      <c r="G2543" s="69"/>
      <c r="H2543" s="69"/>
      <c r="I2543" s="69"/>
      <c r="J2543" s="69"/>
      <c r="K2543" s="69"/>
      <c r="L2543" s="69"/>
      <c r="M2543" s="69"/>
      <c r="N2543" s="69"/>
      <c r="O2543" s="69"/>
      <c r="P2543" s="69"/>
      <c r="Q2543" s="69"/>
      <c r="R2543" s="69"/>
      <c r="S2543" s="69"/>
      <c r="T2543" s="69"/>
      <c r="U2543" s="69"/>
      <c r="V2543" s="69"/>
      <c r="W2543" s="69"/>
    </row>
    <row r="2544" spans="7:23" x14ac:dyDescent="0.3">
      <c r="G2544" s="69"/>
      <c r="H2544" s="69"/>
      <c r="I2544" s="69"/>
      <c r="J2544" s="69"/>
      <c r="K2544" s="69"/>
      <c r="L2544" s="69"/>
      <c r="M2544" s="69"/>
      <c r="N2544" s="69"/>
      <c r="O2544" s="69"/>
      <c r="P2544" s="69"/>
      <c r="Q2544" s="69"/>
      <c r="R2544" s="69"/>
      <c r="S2544" s="69"/>
      <c r="T2544" s="69"/>
      <c r="U2544" s="69"/>
      <c r="V2544" s="69"/>
      <c r="W2544" s="69"/>
    </row>
    <row r="2545" spans="7:23" x14ac:dyDescent="0.3">
      <c r="G2545" s="69"/>
      <c r="H2545" s="69"/>
      <c r="I2545" s="69"/>
      <c r="J2545" s="69"/>
      <c r="K2545" s="69"/>
      <c r="L2545" s="69"/>
      <c r="M2545" s="69"/>
      <c r="N2545" s="69"/>
      <c r="O2545" s="69"/>
      <c r="P2545" s="69"/>
      <c r="Q2545" s="69"/>
      <c r="R2545" s="69"/>
      <c r="S2545" s="69"/>
      <c r="T2545" s="69"/>
      <c r="U2545" s="69"/>
      <c r="V2545" s="69"/>
      <c r="W2545" s="69"/>
    </row>
    <row r="2546" spans="7:23" x14ac:dyDescent="0.3">
      <c r="G2546" s="69"/>
      <c r="H2546" s="69"/>
      <c r="I2546" s="69"/>
      <c r="J2546" s="69"/>
      <c r="K2546" s="69"/>
      <c r="L2546" s="69"/>
      <c r="M2546" s="69"/>
      <c r="N2546" s="69"/>
      <c r="O2546" s="69"/>
      <c r="P2546" s="69"/>
      <c r="Q2546" s="69"/>
      <c r="R2546" s="69"/>
      <c r="S2546" s="69"/>
      <c r="T2546" s="69"/>
      <c r="U2546" s="69"/>
      <c r="V2546" s="69"/>
      <c r="W2546" s="69"/>
    </row>
    <row r="2547" spans="7:23" x14ac:dyDescent="0.3">
      <c r="G2547" s="69"/>
      <c r="H2547" s="69"/>
      <c r="I2547" s="69"/>
      <c r="J2547" s="69"/>
      <c r="K2547" s="69"/>
      <c r="L2547" s="69"/>
      <c r="M2547" s="69"/>
      <c r="N2547" s="69"/>
      <c r="O2547" s="69"/>
      <c r="P2547" s="69"/>
      <c r="Q2547" s="69"/>
      <c r="R2547" s="69"/>
      <c r="S2547" s="69"/>
      <c r="T2547" s="69"/>
      <c r="U2547" s="69"/>
      <c r="V2547" s="69"/>
      <c r="W2547" s="69"/>
    </row>
    <row r="2548" spans="7:23" x14ac:dyDescent="0.3">
      <c r="G2548" s="69"/>
      <c r="H2548" s="69"/>
      <c r="I2548" s="69"/>
      <c r="J2548" s="69"/>
      <c r="K2548" s="69"/>
      <c r="L2548" s="69"/>
      <c r="M2548" s="69"/>
      <c r="N2548" s="69"/>
      <c r="O2548" s="69"/>
      <c r="P2548" s="69"/>
      <c r="Q2548" s="69"/>
      <c r="R2548" s="69"/>
      <c r="S2548" s="69"/>
      <c r="T2548" s="69"/>
      <c r="U2548" s="69"/>
      <c r="V2548" s="69"/>
      <c r="W2548" s="69"/>
    </row>
    <row r="2549" spans="7:23" x14ac:dyDescent="0.3">
      <c r="G2549" s="69"/>
      <c r="H2549" s="69"/>
      <c r="I2549" s="69"/>
      <c r="J2549" s="69"/>
      <c r="K2549" s="69"/>
      <c r="L2549" s="69"/>
      <c r="M2549" s="69"/>
      <c r="N2549" s="69"/>
      <c r="O2549" s="69"/>
      <c r="P2549" s="69"/>
      <c r="Q2549" s="69"/>
      <c r="R2549" s="69"/>
      <c r="S2549" s="69"/>
      <c r="T2549" s="69"/>
      <c r="U2549" s="69"/>
      <c r="V2549" s="69"/>
      <c r="W2549" s="69"/>
    </row>
    <row r="2550" spans="7:23" x14ac:dyDescent="0.3">
      <c r="G2550" s="69"/>
      <c r="H2550" s="69"/>
      <c r="I2550" s="69"/>
      <c r="J2550" s="69"/>
      <c r="K2550" s="69"/>
      <c r="L2550" s="69"/>
      <c r="M2550" s="69"/>
      <c r="N2550" s="69"/>
      <c r="O2550" s="69"/>
      <c r="P2550" s="69"/>
      <c r="Q2550" s="69"/>
      <c r="R2550" s="69"/>
      <c r="S2550" s="69"/>
      <c r="T2550" s="69"/>
      <c r="U2550" s="69"/>
      <c r="V2550" s="69"/>
      <c r="W2550" s="69"/>
    </row>
    <row r="2551" spans="7:23" x14ac:dyDescent="0.3">
      <c r="G2551" s="69"/>
      <c r="H2551" s="69"/>
      <c r="I2551" s="69"/>
      <c r="J2551" s="69"/>
      <c r="K2551" s="69"/>
      <c r="L2551" s="69"/>
      <c r="M2551" s="69"/>
      <c r="N2551" s="69"/>
      <c r="O2551" s="69"/>
      <c r="P2551" s="69"/>
      <c r="Q2551" s="69"/>
      <c r="R2551" s="69"/>
      <c r="S2551" s="69"/>
      <c r="T2551" s="69"/>
      <c r="U2551" s="69"/>
      <c r="V2551" s="69"/>
      <c r="W2551" s="69"/>
    </row>
    <row r="2552" spans="7:23" x14ac:dyDescent="0.3">
      <c r="G2552" s="69"/>
      <c r="H2552" s="69"/>
      <c r="I2552" s="69"/>
      <c r="J2552" s="69"/>
      <c r="K2552" s="69"/>
      <c r="L2552" s="69"/>
      <c r="M2552" s="69"/>
      <c r="N2552" s="69"/>
      <c r="O2552" s="69"/>
      <c r="P2552" s="69"/>
      <c r="Q2552" s="69"/>
      <c r="R2552" s="69"/>
      <c r="S2552" s="69"/>
      <c r="T2552" s="69"/>
      <c r="U2552" s="69"/>
      <c r="V2552" s="69"/>
      <c r="W2552" s="69"/>
    </row>
    <row r="2553" spans="7:23" x14ac:dyDescent="0.3">
      <c r="G2553" s="69"/>
      <c r="H2553" s="69"/>
      <c r="I2553" s="69"/>
      <c r="J2553" s="69"/>
      <c r="K2553" s="69"/>
      <c r="L2553" s="69"/>
      <c r="M2553" s="69"/>
      <c r="N2553" s="69"/>
      <c r="O2553" s="69"/>
      <c r="P2553" s="69"/>
      <c r="Q2553" s="69"/>
      <c r="R2553" s="69"/>
      <c r="S2553" s="69"/>
      <c r="T2553" s="69"/>
      <c r="U2553" s="69"/>
      <c r="V2553" s="69"/>
      <c r="W2553" s="69"/>
    </row>
    <row r="2554" spans="7:23" x14ac:dyDescent="0.3">
      <c r="G2554" s="69"/>
      <c r="H2554" s="69"/>
      <c r="I2554" s="69"/>
      <c r="J2554" s="69"/>
      <c r="K2554" s="69"/>
      <c r="L2554" s="69"/>
      <c r="M2554" s="69"/>
      <c r="N2554" s="69"/>
      <c r="O2554" s="69"/>
      <c r="P2554" s="69"/>
      <c r="Q2554" s="69"/>
      <c r="R2554" s="69"/>
      <c r="S2554" s="69"/>
      <c r="T2554" s="69"/>
      <c r="U2554" s="69"/>
      <c r="V2554" s="69"/>
      <c r="W2554" s="69"/>
    </row>
    <row r="2555" spans="7:23" x14ac:dyDescent="0.3">
      <c r="G2555" s="69"/>
      <c r="H2555" s="69"/>
      <c r="I2555" s="69"/>
      <c r="J2555" s="69"/>
      <c r="K2555" s="69"/>
      <c r="L2555" s="69"/>
      <c r="M2555" s="69"/>
      <c r="N2555" s="69"/>
      <c r="O2555" s="69"/>
      <c r="P2555" s="69"/>
      <c r="Q2555" s="69"/>
      <c r="R2555" s="69"/>
      <c r="S2555" s="69"/>
      <c r="T2555" s="69"/>
      <c r="U2555" s="69"/>
      <c r="V2555" s="69"/>
      <c r="W2555" s="69"/>
    </row>
    <row r="2556" spans="7:23" x14ac:dyDescent="0.3">
      <c r="G2556" s="69"/>
      <c r="H2556" s="69"/>
      <c r="I2556" s="69"/>
      <c r="J2556" s="69"/>
      <c r="K2556" s="69"/>
      <c r="L2556" s="69"/>
      <c r="M2556" s="69"/>
      <c r="N2556" s="69"/>
      <c r="O2556" s="69"/>
      <c r="P2556" s="69"/>
      <c r="Q2556" s="69"/>
      <c r="R2556" s="69"/>
      <c r="S2556" s="69"/>
      <c r="T2556" s="69"/>
      <c r="U2556" s="69"/>
      <c r="V2556" s="69"/>
      <c r="W2556" s="69"/>
    </row>
    <row r="2557" spans="7:23" x14ac:dyDescent="0.3">
      <c r="G2557" s="69"/>
      <c r="H2557" s="69"/>
      <c r="I2557" s="69"/>
      <c r="J2557" s="69"/>
      <c r="K2557" s="69"/>
      <c r="L2557" s="69"/>
      <c r="M2557" s="69"/>
      <c r="N2557" s="69"/>
      <c r="O2557" s="69"/>
      <c r="P2557" s="69"/>
      <c r="Q2557" s="69"/>
      <c r="R2557" s="69"/>
      <c r="S2557" s="69"/>
      <c r="T2557" s="69"/>
      <c r="U2557" s="69"/>
      <c r="V2557" s="69"/>
      <c r="W2557" s="69"/>
    </row>
    <row r="2558" spans="7:23" x14ac:dyDescent="0.3">
      <c r="G2558" s="69"/>
      <c r="H2558" s="69"/>
      <c r="I2558" s="69"/>
      <c r="J2558" s="69"/>
      <c r="K2558" s="69"/>
      <c r="L2558" s="69"/>
      <c r="M2558" s="69"/>
      <c r="N2558" s="69"/>
      <c r="O2558" s="69"/>
      <c r="P2558" s="69"/>
      <c r="Q2558" s="69"/>
      <c r="R2558" s="69"/>
      <c r="S2558" s="69"/>
      <c r="T2558" s="69"/>
      <c r="U2558" s="69"/>
      <c r="V2558" s="69"/>
      <c r="W2558" s="69"/>
    </row>
    <row r="2559" spans="7:23" x14ac:dyDescent="0.3">
      <c r="G2559" s="69"/>
      <c r="H2559" s="69"/>
      <c r="I2559" s="69"/>
      <c r="J2559" s="69"/>
      <c r="K2559" s="69"/>
      <c r="L2559" s="69"/>
      <c r="M2559" s="69"/>
      <c r="N2559" s="69"/>
      <c r="O2559" s="69"/>
      <c r="P2559" s="69"/>
      <c r="Q2559" s="69"/>
      <c r="R2559" s="69"/>
      <c r="S2559" s="69"/>
      <c r="T2559" s="69"/>
      <c r="U2559" s="69"/>
      <c r="V2559" s="69"/>
      <c r="W2559" s="69"/>
    </row>
    <row r="2560" spans="7:23" x14ac:dyDescent="0.3">
      <c r="G2560" s="69"/>
      <c r="H2560" s="69"/>
      <c r="I2560" s="69"/>
      <c r="J2560" s="69"/>
      <c r="K2560" s="69"/>
      <c r="L2560" s="69"/>
      <c r="M2560" s="69"/>
      <c r="N2560" s="69"/>
      <c r="O2560" s="69"/>
      <c r="P2560" s="69"/>
      <c r="Q2560" s="69"/>
      <c r="R2560" s="69"/>
      <c r="S2560" s="69"/>
      <c r="T2560" s="69"/>
      <c r="U2560" s="69"/>
      <c r="V2560" s="69"/>
      <c r="W2560" s="69"/>
    </row>
    <row r="2561" spans="7:23" x14ac:dyDescent="0.3">
      <c r="G2561" s="69"/>
      <c r="H2561" s="69"/>
      <c r="I2561" s="69"/>
      <c r="J2561" s="69"/>
      <c r="K2561" s="69"/>
      <c r="L2561" s="69"/>
      <c r="M2561" s="69"/>
      <c r="N2561" s="69"/>
      <c r="O2561" s="69"/>
      <c r="P2561" s="69"/>
      <c r="Q2561" s="69"/>
      <c r="R2561" s="69"/>
      <c r="S2561" s="69"/>
      <c r="T2561" s="69"/>
      <c r="U2561" s="69"/>
      <c r="V2561" s="69"/>
      <c r="W2561" s="69"/>
    </row>
    <row r="2562" spans="7:23" x14ac:dyDescent="0.3">
      <c r="G2562" s="69"/>
      <c r="H2562" s="69"/>
      <c r="I2562" s="69"/>
      <c r="J2562" s="69"/>
      <c r="K2562" s="69"/>
      <c r="L2562" s="69"/>
      <c r="M2562" s="69"/>
      <c r="N2562" s="69"/>
      <c r="O2562" s="69"/>
      <c r="P2562" s="69"/>
      <c r="Q2562" s="69"/>
      <c r="R2562" s="69"/>
      <c r="S2562" s="69"/>
      <c r="T2562" s="69"/>
      <c r="U2562" s="69"/>
      <c r="V2562" s="69"/>
      <c r="W2562" s="69"/>
    </row>
    <row r="2563" spans="7:23" x14ac:dyDescent="0.3">
      <c r="G2563" s="69"/>
      <c r="H2563" s="69"/>
      <c r="I2563" s="69"/>
      <c r="J2563" s="69"/>
      <c r="K2563" s="69"/>
      <c r="L2563" s="69"/>
      <c r="M2563" s="69"/>
      <c r="N2563" s="69"/>
      <c r="O2563" s="69"/>
      <c r="P2563" s="69"/>
      <c r="Q2563" s="69"/>
      <c r="R2563" s="69"/>
      <c r="S2563" s="69"/>
      <c r="T2563" s="69"/>
      <c r="U2563" s="69"/>
      <c r="V2563" s="69"/>
      <c r="W2563" s="69"/>
    </row>
    <row r="2564" spans="7:23" x14ac:dyDescent="0.3">
      <c r="G2564" s="69"/>
      <c r="H2564" s="69"/>
      <c r="I2564" s="69"/>
      <c r="J2564" s="69"/>
      <c r="K2564" s="69"/>
      <c r="L2564" s="69"/>
      <c r="M2564" s="69"/>
      <c r="N2564" s="69"/>
      <c r="O2564" s="69"/>
      <c r="P2564" s="69"/>
      <c r="Q2564" s="69"/>
      <c r="R2564" s="69"/>
      <c r="S2564" s="69"/>
      <c r="T2564" s="69"/>
      <c r="U2564" s="69"/>
      <c r="V2564" s="69"/>
      <c r="W2564" s="69"/>
    </row>
    <row r="2565" spans="7:23" x14ac:dyDescent="0.3">
      <c r="G2565" s="69"/>
      <c r="H2565" s="69"/>
      <c r="I2565" s="69"/>
      <c r="J2565" s="69"/>
      <c r="K2565" s="69"/>
      <c r="L2565" s="69"/>
      <c r="M2565" s="69"/>
      <c r="N2565" s="69"/>
      <c r="O2565" s="69"/>
      <c r="P2565" s="69"/>
      <c r="Q2565" s="69"/>
      <c r="R2565" s="69"/>
      <c r="S2565" s="69"/>
      <c r="T2565" s="69"/>
      <c r="U2565" s="69"/>
      <c r="V2565" s="69"/>
      <c r="W2565" s="69"/>
    </row>
    <row r="2566" spans="7:23" x14ac:dyDescent="0.3">
      <c r="G2566" s="69"/>
      <c r="H2566" s="69"/>
      <c r="I2566" s="69"/>
      <c r="J2566" s="69"/>
      <c r="K2566" s="69"/>
      <c r="L2566" s="69"/>
      <c r="M2566" s="69"/>
      <c r="N2566" s="69"/>
      <c r="O2566" s="69"/>
      <c r="P2566" s="69"/>
      <c r="Q2566" s="69"/>
      <c r="R2566" s="69"/>
      <c r="S2566" s="69"/>
      <c r="T2566" s="69"/>
      <c r="U2566" s="69"/>
      <c r="V2566" s="69"/>
      <c r="W2566" s="69"/>
    </row>
    <row r="2567" spans="7:23" x14ac:dyDescent="0.3">
      <c r="G2567" s="69"/>
      <c r="H2567" s="69"/>
      <c r="I2567" s="69"/>
      <c r="J2567" s="69"/>
      <c r="K2567" s="69"/>
      <c r="L2567" s="69"/>
      <c r="M2567" s="69"/>
      <c r="N2567" s="69"/>
      <c r="O2567" s="69"/>
      <c r="P2567" s="69"/>
      <c r="Q2567" s="69"/>
      <c r="R2567" s="69"/>
      <c r="S2567" s="69"/>
      <c r="T2567" s="69"/>
      <c r="U2567" s="69"/>
      <c r="V2567" s="69"/>
      <c r="W2567" s="69"/>
    </row>
    <row r="2568" spans="7:23" x14ac:dyDescent="0.3">
      <c r="G2568" s="69"/>
      <c r="H2568" s="69"/>
      <c r="I2568" s="69"/>
      <c r="J2568" s="69"/>
      <c r="K2568" s="69"/>
      <c r="L2568" s="69"/>
      <c r="M2568" s="69"/>
      <c r="N2568" s="69"/>
      <c r="O2568" s="69"/>
      <c r="P2568" s="69"/>
      <c r="Q2568" s="69"/>
      <c r="R2568" s="69"/>
      <c r="S2568" s="69"/>
      <c r="T2568" s="69"/>
      <c r="U2568" s="69"/>
      <c r="V2568" s="69"/>
      <c r="W2568" s="69"/>
    </row>
    <row r="2569" spans="7:23" x14ac:dyDescent="0.3">
      <c r="G2569" s="69"/>
      <c r="H2569" s="69"/>
      <c r="I2569" s="69"/>
      <c r="J2569" s="69"/>
      <c r="K2569" s="69"/>
      <c r="L2569" s="69"/>
      <c r="M2569" s="69"/>
      <c r="N2569" s="69"/>
      <c r="O2569" s="69"/>
      <c r="P2569" s="69"/>
      <c r="Q2569" s="69"/>
      <c r="R2569" s="69"/>
      <c r="S2569" s="69"/>
      <c r="T2569" s="69"/>
      <c r="U2569" s="69"/>
      <c r="V2569" s="69"/>
      <c r="W2569" s="69"/>
    </row>
    <row r="2570" spans="7:23" x14ac:dyDescent="0.3">
      <c r="G2570" s="69"/>
      <c r="H2570" s="69"/>
      <c r="I2570" s="69"/>
      <c r="J2570" s="69"/>
      <c r="K2570" s="69"/>
      <c r="L2570" s="69"/>
      <c r="M2570" s="69"/>
      <c r="N2570" s="69"/>
      <c r="O2570" s="69"/>
      <c r="P2570" s="69"/>
      <c r="Q2570" s="69"/>
      <c r="R2570" s="69"/>
      <c r="S2570" s="69"/>
      <c r="T2570" s="69"/>
      <c r="U2570" s="69"/>
      <c r="V2570" s="69"/>
      <c r="W2570" s="69"/>
    </row>
    <row r="2571" spans="7:23" x14ac:dyDescent="0.3">
      <c r="G2571" s="69"/>
      <c r="H2571" s="69"/>
      <c r="I2571" s="69"/>
      <c r="J2571" s="69"/>
      <c r="K2571" s="69"/>
      <c r="L2571" s="69"/>
      <c r="M2571" s="69"/>
      <c r="N2571" s="69"/>
      <c r="O2571" s="69"/>
      <c r="P2571" s="69"/>
      <c r="Q2571" s="69"/>
      <c r="R2571" s="69"/>
      <c r="S2571" s="69"/>
      <c r="T2571" s="69"/>
      <c r="U2571" s="69"/>
      <c r="V2571" s="69"/>
      <c r="W2571" s="69"/>
    </row>
    <row r="2572" spans="7:23" x14ac:dyDescent="0.3">
      <c r="G2572" s="69"/>
      <c r="H2572" s="69"/>
      <c r="I2572" s="69"/>
      <c r="J2572" s="69"/>
      <c r="K2572" s="69"/>
      <c r="L2572" s="69"/>
      <c r="M2572" s="69"/>
      <c r="N2572" s="69"/>
      <c r="O2572" s="69"/>
      <c r="P2572" s="69"/>
      <c r="Q2572" s="69"/>
      <c r="R2572" s="69"/>
      <c r="S2572" s="69"/>
      <c r="T2572" s="69"/>
      <c r="U2572" s="69"/>
      <c r="V2572" s="69"/>
      <c r="W2572" s="69"/>
    </row>
    <row r="2573" spans="7:23" x14ac:dyDescent="0.3">
      <c r="G2573" s="69"/>
      <c r="H2573" s="69"/>
      <c r="I2573" s="69"/>
      <c r="J2573" s="69"/>
      <c r="K2573" s="69"/>
      <c r="L2573" s="69"/>
      <c r="M2573" s="69"/>
      <c r="N2573" s="69"/>
      <c r="O2573" s="69"/>
      <c r="P2573" s="69"/>
      <c r="Q2573" s="69"/>
      <c r="R2573" s="69"/>
      <c r="S2573" s="69"/>
      <c r="T2573" s="69"/>
      <c r="U2573" s="69"/>
      <c r="V2573" s="69"/>
      <c r="W2573" s="69"/>
    </row>
    <row r="2574" spans="7:23" x14ac:dyDescent="0.3">
      <c r="G2574" s="69"/>
      <c r="H2574" s="69"/>
      <c r="I2574" s="69"/>
      <c r="J2574" s="69"/>
      <c r="K2574" s="69"/>
      <c r="L2574" s="69"/>
      <c r="M2574" s="69"/>
      <c r="N2574" s="69"/>
      <c r="O2574" s="69"/>
      <c r="P2574" s="69"/>
      <c r="Q2574" s="69"/>
      <c r="R2574" s="69"/>
      <c r="S2574" s="69"/>
      <c r="T2574" s="69"/>
      <c r="U2574" s="69"/>
      <c r="V2574" s="69"/>
      <c r="W2574" s="69"/>
    </row>
    <row r="2575" spans="7:23" x14ac:dyDescent="0.3">
      <c r="G2575" s="69"/>
      <c r="H2575" s="69"/>
      <c r="I2575" s="69"/>
      <c r="J2575" s="69"/>
      <c r="K2575" s="69"/>
      <c r="L2575" s="69"/>
      <c r="M2575" s="69"/>
      <c r="N2575" s="69"/>
      <c r="O2575" s="69"/>
      <c r="P2575" s="69"/>
      <c r="Q2575" s="69"/>
      <c r="R2575" s="69"/>
      <c r="S2575" s="69"/>
      <c r="T2575" s="69"/>
      <c r="U2575" s="69"/>
      <c r="V2575" s="69"/>
      <c r="W2575" s="69"/>
    </row>
    <row r="2576" spans="7:23" x14ac:dyDescent="0.3">
      <c r="G2576" s="69"/>
      <c r="H2576" s="69"/>
      <c r="I2576" s="69"/>
      <c r="J2576" s="69"/>
      <c r="K2576" s="69"/>
      <c r="L2576" s="69"/>
      <c r="M2576" s="69"/>
      <c r="N2576" s="69"/>
      <c r="O2576" s="69"/>
      <c r="P2576" s="69"/>
      <c r="Q2576" s="69"/>
      <c r="R2576" s="69"/>
      <c r="S2576" s="69"/>
      <c r="T2576" s="69"/>
      <c r="U2576" s="69"/>
      <c r="V2576" s="69"/>
      <c r="W2576" s="69"/>
    </row>
    <row r="2577" spans="1:23" x14ac:dyDescent="0.3">
      <c r="G2577" s="69"/>
      <c r="H2577" s="69"/>
      <c r="I2577" s="69"/>
      <c r="J2577" s="69"/>
      <c r="K2577" s="69"/>
      <c r="L2577" s="69"/>
      <c r="M2577" s="69"/>
      <c r="N2577" s="69"/>
      <c r="O2577" s="69"/>
      <c r="P2577" s="69"/>
      <c r="Q2577" s="69"/>
      <c r="R2577" s="69"/>
      <c r="S2577" s="69"/>
      <c r="T2577" s="69"/>
      <c r="U2577" s="69"/>
      <c r="V2577" s="69"/>
      <c r="W2577" s="69"/>
    </row>
    <row r="2578" spans="1:23" x14ac:dyDescent="0.3">
      <c r="G2578" s="69"/>
      <c r="H2578" s="69"/>
      <c r="I2578" s="69"/>
      <c r="J2578" s="69"/>
      <c r="K2578" s="69"/>
      <c r="L2578" s="69"/>
      <c r="M2578" s="69"/>
      <c r="N2578" s="69"/>
      <c r="O2578" s="69"/>
      <c r="P2578" s="69"/>
      <c r="Q2578" s="69"/>
      <c r="R2578" s="69"/>
      <c r="S2578" s="69"/>
      <c r="T2578" s="69"/>
      <c r="U2578" s="69"/>
      <c r="V2578" s="69"/>
      <c r="W2578" s="69"/>
    </row>
    <row r="2579" spans="1:23" x14ac:dyDescent="0.3">
      <c r="G2579" s="69"/>
      <c r="H2579" s="69"/>
      <c r="I2579" s="69"/>
      <c r="J2579" s="69"/>
      <c r="K2579" s="69"/>
      <c r="L2579" s="69"/>
      <c r="M2579" s="69"/>
      <c r="N2579" s="69"/>
      <c r="O2579" s="69"/>
      <c r="P2579" s="69"/>
      <c r="Q2579" s="69"/>
      <c r="R2579" s="69"/>
      <c r="S2579" s="69"/>
      <c r="T2579" s="69"/>
      <c r="U2579" s="69"/>
      <c r="V2579" s="69"/>
      <c r="W2579" s="69"/>
    </row>
    <row r="2580" spans="1:23" ht="21" x14ac:dyDescent="0.4">
      <c r="A2580" s="48"/>
      <c r="G2580" s="69"/>
      <c r="H2580" s="69"/>
      <c r="I2580" s="69"/>
      <c r="J2580" s="69"/>
      <c r="K2580" s="69"/>
      <c r="L2580" s="69"/>
      <c r="M2580" s="69"/>
      <c r="N2580" s="69"/>
      <c r="O2580" s="69"/>
      <c r="P2580" s="69"/>
      <c r="Q2580" s="69"/>
      <c r="R2580" s="69"/>
      <c r="S2580" s="69"/>
      <c r="T2580" s="69"/>
      <c r="U2580" s="69"/>
      <c r="V2580" s="69"/>
      <c r="W2580" s="69"/>
    </row>
    <row r="2581" spans="1:23" x14ac:dyDescent="0.3">
      <c r="G2581" s="69"/>
      <c r="H2581" s="69"/>
      <c r="I2581" s="69"/>
      <c r="J2581" s="69"/>
      <c r="K2581" s="69"/>
      <c r="L2581" s="69"/>
      <c r="M2581" s="69"/>
      <c r="N2581" s="69"/>
      <c r="O2581" s="69"/>
      <c r="P2581" s="69"/>
      <c r="Q2581" s="69"/>
      <c r="R2581" s="69"/>
      <c r="S2581" s="69"/>
      <c r="T2581" s="69"/>
      <c r="U2581" s="69"/>
      <c r="V2581" s="69"/>
      <c r="W2581" s="69"/>
    </row>
    <row r="2582" spans="1:23" x14ac:dyDescent="0.3">
      <c r="G2582" s="69"/>
      <c r="H2582" s="69"/>
      <c r="I2582" s="69"/>
      <c r="J2582" s="69"/>
      <c r="K2582" s="69"/>
      <c r="L2582" s="69"/>
      <c r="M2582" s="69"/>
      <c r="N2582" s="69"/>
      <c r="O2582" s="69"/>
      <c r="P2582" s="69"/>
      <c r="Q2582" s="69"/>
      <c r="R2582" s="69"/>
      <c r="S2582" s="69"/>
      <c r="T2582" s="69"/>
      <c r="U2582" s="69"/>
      <c r="V2582" s="69"/>
      <c r="W2582" s="69"/>
    </row>
    <row r="2583" spans="1:23" x14ac:dyDescent="0.3">
      <c r="G2583" s="69"/>
      <c r="H2583" s="69"/>
      <c r="I2583" s="69"/>
      <c r="J2583" s="69"/>
      <c r="K2583" s="69"/>
      <c r="L2583" s="69"/>
      <c r="M2583" s="69"/>
      <c r="N2583" s="69"/>
      <c r="O2583" s="69"/>
      <c r="P2583" s="69"/>
      <c r="Q2583" s="69"/>
      <c r="R2583" s="69"/>
      <c r="S2583" s="69"/>
      <c r="T2583" s="69"/>
      <c r="U2583" s="69"/>
      <c r="V2583" s="69"/>
      <c r="W2583" s="69"/>
    </row>
    <row r="2584" spans="1:23" x14ac:dyDescent="0.3">
      <c r="G2584" s="69"/>
      <c r="H2584" s="69"/>
      <c r="I2584" s="69"/>
      <c r="J2584" s="69"/>
      <c r="K2584" s="69"/>
      <c r="L2584" s="69"/>
      <c r="M2584" s="69"/>
      <c r="N2584" s="69"/>
      <c r="O2584" s="69"/>
      <c r="P2584" s="69"/>
      <c r="Q2584" s="69"/>
      <c r="R2584" s="69"/>
      <c r="S2584" s="69"/>
      <c r="T2584" s="69"/>
      <c r="U2584" s="69"/>
      <c r="V2584" s="69"/>
      <c r="W2584" s="69"/>
    </row>
    <row r="2585" spans="1:23" x14ac:dyDescent="0.3">
      <c r="G2585" s="69"/>
      <c r="H2585" s="69"/>
      <c r="I2585" s="69"/>
      <c r="J2585" s="69"/>
      <c r="K2585" s="69"/>
      <c r="L2585" s="69"/>
      <c r="M2585" s="69"/>
      <c r="N2585" s="69"/>
      <c r="O2585" s="69"/>
      <c r="P2585" s="69"/>
      <c r="Q2585" s="69"/>
      <c r="R2585" s="69"/>
      <c r="S2585" s="69"/>
      <c r="T2585" s="69"/>
      <c r="U2585" s="69"/>
      <c r="V2585" s="69"/>
      <c r="W2585" s="69"/>
    </row>
    <row r="2586" spans="1:23" x14ac:dyDescent="0.3">
      <c r="G2586" s="69"/>
      <c r="H2586" s="69"/>
      <c r="I2586" s="69"/>
      <c r="J2586" s="69"/>
      <c r="K2586" s="69"/>
      <c r="L2586" s="69"/>
      <c r="M2586" s="69"/>
      <c r="N2586" s="69"/>
      <c r="O2586" s="69"/>
      <c r="P2586" s="69"/>
      <c r="Q2586" s="69"/>
      <c r="R2586" s="69"/>
      <c r="S2586" s="69"/>
      <c r="T2586" s="69"/>
      <c r="U2586" s="69"/>
      <c r="V2586" s="69"/>
      <c r="W2586" s="69"/>
    </row>
    <row r="2587" spans="1:23" x14ac:dyDescent="0.3">
      <c r="G2587" s="69"/>
      <c r="H2587" s="69"/>
      <c r="I2587" s="69"/>
      <c r="J2587" s="69"/>
      <c r="K2587" s="69"/>
      <c r="L2587" s="69"/>
      <c r="M2587" s="69"/>
      <c r="N2587" s="69"/>
      <c r="O2587" s="69"/>
      <c r="P2587" s="69"/>
      <c r="Q2587" s="69"/>
      <c r="R2587" s="69"/>
      <c r="S2587" s="69"/>
      <c r="T2587" s="69"/>
      <c r="U2587" s="69"/>
      <c r="V2587" s="69"/>
      <c r="W2587" s="69"/>
    </row>
    <row r="2588" spans="1:23" x14ac:dyDescent="0.3">
      <c r="G2588" s="69"/>
      <c r="H2588" s="69"/>
      <c r="I2588" s="69"/>
      <c r="J2588" s="69"/>
      <c r="K2588" s="69"/>
      <c r="L2588" s="69"/>
      <c r="M2588" s="69"/>
      <c r="N2588" s="69"/>
      <c r="O2588" s="69"/>
      <c r="P2588" s="69"/>
      <c r="Q2588" s="69"/>
      <c r="R2588" s="69"/>
      <c r="S2588" s="69"/>
      <c r="T2588" s="69"/>
      <c r="U2588" s="69"/>
      <c r="V2588" s="69"/>
      <c r="W2588" s="69"/>
    </row>
    <row r="2589" spans="1:23" x14ac:dyDescent="0.3">
      <c r="G2589" s="69"/>
      <c r="H2589" s="69"/>
      <c r="I2589" s="69"/>
      <c r="J2589" s="69"/>
      <c r="K2589" s="69"/>
      <c r="L2589" s="69"/>
      <c r="M2589" s="69"/>
      <c r="N2589" s="69"/>
      <c r="O2589" s="69"/>
      <c r="P2589" s="69"/>
      <c r="Q2589" s="69"/>
      <c r="R2589" s="69"/>
      <c r="S2589" s="69"/>
      <c r="T2589" s="69"/>
      <c r="U2589" s="69"/>
      <c r="V2589" s="69"/>
      <c r="W2589" s="69"/>
    </row>
    <row r="2590" spans="1:23" x14ac:dyDescent="0.3">
      <c r="G2590" s="69"/>
      <c r="H2590" s="69"/>
      <c r="I2590" s="69"/>
      <c r="J2590" s="69"/>
      <c r="K2590" s="69"/>
      <c r="L2590" s="69"/>
      <c r="M2590" s="69"/>
      <c r="N2590" s="69"/>
      <c r="O2590" s="69"/>
      <c r="P2590" s="69"/>
      <c r="Q2590" s="69"/>
      <c r="R2590" s="69"/>
      <c r="S2590" s="69"/>
      <c r="T2590" s="69"/>
      <c r="U2590" s="69"/>
      <c r="V2590" s="69"/>
      <c r="W2590" s="69"/>
    </row>
    <row r="2591" spans="1:23" x14ac:dyDescent="0.3">
      <c r="G2591" s="69"/>
      <c r="H2591" s="69"/>
      <c r="I2591" s="69"/>
      <c r="J2591" s="69"/>
      <c r="K2591" s="69"/>
      <c r="L2591" s="69"/>
      <c r="M2591" s="69"/>
      <c r="N2591" s="69"/>
      <c r="O2591" s="69"/>
      <c r="P2591" s="69"/>
      <c r="Q2591" s="69"/>
      <c r="R2591" s="69"/>
      <c r="S2591" s="69"/>
      <c r="T2591" s="69"/>
      <c r="U2591" s="69"/>
      <c r="V2591" s="69"/>
      <c r="W2591" s="69"/>
    </row>
    <row r="2592" spans="1:23" x14ac:dyDescent="0.3">
      <c r="G2592" s="69"/>
      <c r="H2592" s="69"/>
      <c r="I2592" s="69"/>
      <c r="J2592" s="69"/>
      <c r="K2592" s="69"/>
      <c r="L2592" s="69"/>
      <c r="M2592" s="69"/>
      <c r="N2592" s="69"/>
      <c r="O2592" s="69"/>
      <c r="P2592" s="69"/>
      <c r="Q2592" s="69"/>
      <c r="R2592" s="69"/>
      <c r="S2592" s="69"/>
      <c r="T2592" s="69"/>
      <c r="U2592" s="69"/>
      <c r="V2592" s="69"/>
      <c r="W2592" s="69"/>
    </row>
    <row r="2593" spans="7:23" x14ac:dyDescent="0.3">
      <c r="G2593" s="69"/>
      <c r="H2593" s="69"/>
      <c r="I2593" s="69"/>
      <c r="J2593" s="69"/>
      <c r="K2593" s="69"/>
      <c r="L2593" s="69"/>
      <c r="M2593" s="69"/>
      <c r="N2593" s="69"/>
      <c r="O2593" s="69"/>
      <c r="P2593" s="69"/>
      <c r="Q2593" s="69"/>
      <c r="R2593" s="69"/>
      <c r="S2593" s="69"/>
      <c r="T2593" s="69"/>
      <c r="U2593" s="69"/>
      <c r="V2593" s="69"/>
      <c r="W2593" s="69"/>
    </row>
    <row r="2594" spans="7:23" x14ac:dyDescent="0.3">
      <c r="G2594" s="69"/>
      <c r="H2594" s="69"/>
      <c r="I2594" s="69"/>
      <c r="J2594" s="69"/>
      <c r="K2594" s="69"/>
      <c r="L2594" s="69"/>
      <c r="M2594" s="69"/>
      <c r="N2594" s="69"/>
      <c r="O2594" s="69"/>
      <c r="P2594" s="69"/>
      <c r="Q2594" s="69"/>
      <c r="R2594" s="69"/>
      <c r="S2594" s="69"/>
      <c r="T2594" s="69"/>
      <c r="U2594" s="69"/>
      <c r="V2594" s="69"/>
      <c r="W2594" s="69"/>
    </row>
    <row r="2595" spans="7:23" x14ac:dyDescent="0.3">
      <c r="G2595" s="69"/>
      <c r="H2595" s="69"/>
      <c r="I2595" s="69"/>
      <c r="J2595" s="69"/>
      <c r="K2595" s="69"/>
      <c r="L2595" s="69"/>
      <c r="M2595" s="69"/>
      <c r="N2595" s="69"/>
      <c r="O2595" s="69"/>
      <c r="P2595" s="69"/>
      <c r="Q2595" s="69"/>
      <c r="R2595" s="69"/>
      <c r="S2595" s="69"/>
      <c r="T2595" s="69"/>
      <c r="U2595" s="69"/>
      <c r="V2595" s="69"/>
      <c r="W2595" s="69"/>
    </row>
    <row r="2596" spans="7:23" x14ac:dyDescent="0.3">
      <c r="G2596" s="69"/>
      <c r="H2596" s="69"/>
      <c r="I2596" s="69"/>
      <c r="J2596" s="69"/>
      <c r="K2596" s="69"/>
      <c r="L2596" s="69"/>
      <c r="M2596" s="69"/>
      <c r="N2596" s="69"/>
      <c r="O2596" s="69"/>
      <c r="P2596" s="69"/>
      <c r="Q2596" s="69"/>
      <c r="R2596" s="69"/>
      <c r="S2596" s="69"/>
      <c r="T2596" s="69"/>
      <c r="U2596" s="69"/>
      <c r="V2596" s="69"/>
      <c r="W2596" s="69"/>
    </row>
    <row r="2597" spans="7:23" x14ac:dyDescent="0.3">
      <c r="G2597" s="69"/>
      <c r="H2597" s="69"/>
      <c r="I2597" s="69"/>
      <c r="J2597" s="69"/>
      <c r="K2597" s="69"/>
      <c r="L2597" s="69"/>
      <c r="M2597" s="69"/>
      <c r="N2597" s="69"/>
      <c r="O2597" s="69"/>
      <c r="P2597" s="69"/>
      <c r="Q2597" s="69"/>
      <c r="R2597" s="69"/>
      <c r="S2597" s="69"/>
      <c r="T2597" s="69"/>
      <c r="U2597" s="69"/>
      <c r="V2597" s="69"/>
      <c r="W2597" s="69"/>
    </row>
    <row r="2598" spans="7:23" x14ac:dyDescent="0.3">
      <c r="G2598" s="69"/>
      <c r="H2598" s="69"/>
      <c r="I2598" s="69"/>
      <c r="J2598" s="69"/>
      <c r="K2598" s="69"/>
      <c r="L2598" s="69"/>
      <c r="M2598" s="69"/>
      <c r="N2598" s="69"/>
      <c r="O2598" s="69"/>
      <c r="P2598" s="69"/>
      <c r="Q2598" s="69"/>
      <c r="R2598" s="69"/>
      <c r="S2598" s="69"/>
      <c r="T2598" s="69"/>
      <c r="U2598" s="69"/>
      <c r="V2598" s="69"/>
      <c r="W2598" s="69"/>
    </row>
    <row r="2599" spans="7:23" x14ac:dyDescent="0.3">
      <c r="G2599" s="69"/>
      <c r="H2599" s="69"/>
      <c r="I2599" s="69"/>
      <c r="J2599" s="69"/>
      <c r="K2599" s="69"/>
      <c r="L2599" s="69"/>
      <c r="M2599" s="69"/>
      <c r="N2599" s="69"/>
      <c r="O2599" s="69"/>
      <c r="P2599" s="69"/>
      <c r="Q2599" s="69"/>
      <c r="R2599" s="69"/>
      <c r="S2599" s="69"/>
      <c r="T2599" s="69"/>
      <c r="U2599" s="69"/>
      <c r="V2599" s="69"/>
      <c r="W2599" s="69"/>
    </row>
    <row r="2600" spans="7:23" x14ac:dyDescent="0.3">
      <c r="G2600" s="69"/>
      <c r="H2600" s="69"/>
      <c r="I2600" s="69"/>
      <c r="J2600" s="69"/>
      <c r="K2600" s="69"/>
      <c r="L2600" s="69"/>
      <c r="M2600" s="69"/>
      <c r="N2600" s="69"/>
      <c r="O2600" s="69"/>
      <c r="P2600" s="69"/>
      <c r="Q2600" s="69"/>
      <c r="R2600" s="69"/>
      <c r="S2600" s="69"/>
      <c r="T2600" s="69"/>
      <c r="U2600" s="69"/>
      <c r="V2600" s="69"/>
      <c r="W2600" s="69"/>
    </row>
    <row r="2601" spans="7:23" x14ac:dyDescent="0.3">
      <c r="G2601" s="69"/>
      <c r="H2601" s="69"/>
      <c r="I2601" s="69"/>
      <c r="J2601" s="69"/>
      <c r="K2601" s="69"/>
      <c r="L2601" s="69"/>
      <c r="M2601" s="69"/>
      <c r="N2601" s="69"/>
      <c r="O2601" s="69"/>
      <c r="P2601" s="69"/>
      <c r="Q2601" s="69"/>
      <c r="R2601" s="69"/>
      <c r="S2601" s="69"/>
      <c r="T2601" s="69"/>
      <c r="U2601" s="69"/>
      <c r="V2601" s="69"/>
      <c r="W2601" s="69"/>
    </row>
    <row r="2602" spans="7:23" x14ac:dyDescent="0.3">
      <c r="G2602" s="69"/>
      <c r="H2602" s="69"/>
      <c r="I2602" s="69"/>
      <c r="J2602" s="69"/>
      <c r="K2602" s="69"/>
      <c r="L2602" s="69"/>
      <c r="M2602" s="69"/>
      <c r="N2602" s="69"/>
      <c r="O2602" s="69"/>
      <c r="P2602" s="69"/>
      <c r="Q2602" s="69"/>
      <c r="R2602" s="69"/>
      <c r="S2602" s="69"/>
      <c r="T2602" s="69"/>
      <c r="U2602" s="69"/>
      <c r="V2602" s="69"/>
      <c r="W2602" s="69"/>
    </row>
    <row r="2603" spans="7:23" x14ac:dyDescent="0.3">
      <c r="G2603" s="69"/>
      <c r="H2603" s="69"/>
      <c r="I2603" s="69"/>
      <c r="J2603" s="69"/>
      <c r="K2603" s="69"/>
      <c r="L2603" s="69"/>
      <c r="M2603" s="69"/>
      <c r="N2603" s="69"/>
      <c r="O2603" s="69"/>
      <c r="P2603" s="69"/>
      <c r="Q2603" s="69"/>
      <c r="R2603" s="69"/>
      <c r="S2603" s="69"/>
      <c r="T2603" s="69"/>
      <c r="U2603" s="69"/>
      <c r="V2603" s="69"/>
      <c r="W2603" s="69"/>
    </row>
    <row r="2604" spans="7:23" x14ac:dyDescent="0.3">
      <c r="G2604" s="69"/>
      <c r="H2604" s="69"/>
      <c r="I2604" s="69"/>
      <c r="J2604" s="69"/>
      <c r="K2604" s="69"/>
      <c r="L2604" s="69"/>
      <c r="M2604" s="69"/>
      <c r="N2604" s="69"/>
      <c r="O2604" s="69"/>
      <c r="P2604" s="69"/>
      <c r="Q2604" s="69"/>
      <c r="R2604" s="69"/>
      <c r="S2604" s="69"/>
      <c r="T2604" s="69"/>
      <c r="U2604" s="69"/>
      <c r="V2604" s="69"/>
      <c r="W2604" s="69"/>
    </row>
    <row r="2605" spans="7:23" x14ac:dyDescent="0.3">
      <c r="G2605" s="69"/>
      <c r="H2605" s="69"/>
      <c r="I2605" s="69"/>
      <c r="J2605" s="69"/>
      <c r="K2605" s="69"/>
      <c r="L2605" s="69"/>
      <c r="M2605" s="69"/>
      <c r="N2605" s="69"/>
      <c r="O2605" s="69"/>
      <c r="P2605" s="69"/>
      <c r="Q2605" s="69"/>
      <c r="R2605" s="69"/>
      <c r="S2605" s="69"/>
      <c r="T2605" s="69"/>
      <c r="U2605" s="69"/>
      <c r="V2605" s="69"/>
      <c r="W2605" s="69"/>
    </row>
    <row r="2606" spans="7:23" x14ac:dyDescent="0.3">
      <c r="G2606" s="69"/>
      <c r="H2606" s="69"/>
      <c r="I2606" s="69"/>
      <c r="J2606" s="69"/>
      <c r="K2606" s="69"/>
      <c r="L2606" s="69"/>
      <c r="M2606" s="69"/>
      <c r="N2606" s="69"/>
      <c r="O2606" s="69"/>
      <c r="P2606" s="69"/>
      <c r="Q2606" s="69"/>
      <c r="R2606" s="69"/>
      <c r="S2606" s="69"/>
      <c r="T2606" s="69"/>
      <c r="U2606" s="69"/>
      <c r="V2606" s="69"/>
      <c r="W2606" s="69"/>
    </row>
    <row r="2607" spans="7:23" x14ac:dyDescent="0.3">
      <c r="G2607" s="69"/>
      <c r="H2607" s="69"/>
      <c r="I2607" s="69"/>
      <c r="J2607" s="69"/>
      <c r="K2607" s="69"/>
      <c r="L2607" s="69"/>
      <c r="M2607" s="69"/>
      <c r="N2607" s="69"/>
      <c r="O2607" s="69"/>
      <c r="P2607" s="69"/>
      <c r="Q2607" s="69"/>
      <c r="R2607" s="69"/>
      <c r="S2607" s="69"/>
      <c r="T2607" s="69"/>
      <c r="U2607" s="69"/>
      <c r="V2607" s="69"/>
      <c r="W2607" s="69"/>
    </row>
    <row r="2608" spans="7:23" x14ac:dyDescent="0.3">
      <c r="G2608" s="69"/>
      <c r="H2608" s="69"/>
      <c r="I2608" s="69"/>
      <c r="J2608" s="69"/>
      <c r="K2608" s="69"/>
      <c r="L2608" s="69"/>
      <c r="M2608" s="69"/>
      <c r="N2608" s="69"/>
      <c r="O2608" s="69"/>
      <c r="P2608" s="69"/>
      <c r="Q2608" s="69"/>
      <c r="R2608" s="69"/>
      <c r="S2608" s="69"/>
      <c r="T2608" s="69"/>
      <c r="U2608" s="69"/>
      <c r="V2608" s="69"/>
      <c r="W2608" s="69"/>
    </row>
    <row r="2609" spans="7:23" x14ac:dyDescent="0.3">
      <c r="G2609" s="69"/>
      <c r="H2609" s="69"/>
      <c r="I2609" s="69"/>
      <c r="J2609" s="69"/>
      <c r="K2609" s="69"/>
      <c r="L2609" s="69"/>
      <c r="M2609" s="69"/>
      <c r="N2609" s="69"/>
      <c r="O2609" s="69"/>
      <c r="P2609" s="69"/>
      <c r="Q2609" s="69"/>
      <c r="R2609" s="69"/>
      <c r="S2609" s="69"/>
      <c r="T2609" s="69"/>
      <c r="U2609" s="69"/>
      <c r="V2609" s="69"/>
      <c r="W2609" s="69"/>
    </row>
    <row r="2610" spans="7:23" x14ac:dyDescent="0.3">
      <c r="G2610" s="69"/>
      <c r="H2610" s="69"/>
      <c r="I2610" s="69"/>
      <c r="J2610" s="69"/>
      <c r="K2610" s="69"/>
      <c r="L2610" s="69"/>
      <c r="M2610" s="69"/>
      <c r="N2610" s="69"/>
      <c r="O2610" s="69"/>
      <c r="P2610" s="69"/>
      <c r="Q2610" s="69"/>
      <c r="R2610" s="69"/>
      <c r="S2610" s="69"/>
      <c r="T2610" s="69"/>
      <c r="U2610" s="69"/>
      <c r="V2610" s="69"/>
      <c r="W2610" s="69"/>
    </row>
    <row r="2611" spans="7:23" x14ac:dyDescent="0.3">
      <c r="G2611" s="69"/>
      <c r="H2611" s="69"/>
      <c r="I2611" s="69"/>
      <c r="J2611" s="69"/>
      <c r="K2611" s="69"/>
      <c r="L2611" s="69"/>
      <c r="M2611" s="69"/>
      <c r="N2611" s="69"/>
      <c r="O2611" s="69"/>
      <c r="P2611" s="69"/>
      <c r="Q2611" s="69"/>
      <c r="R2611" s="69"/>
      <c r="S2611" s="69"/>
      <c r="T2611" s="69"/>
      <c r="U2611" s="69"/>
      <c r="V2611" s="69"/>
      <c r="W2611" s="69"/>
    </row>
    <row r="2612" spans="7:23" x14ac:dyDescent="0.3">
      <c r="G2612" s="69"/>
      <c r="H2612" s="69"/>
      <c r="I2612" s="69"/>
      <c r="J2612" s="69"/>
      <c r="K2612" s="69"/>
      <c r="L2612" s="69"/>
      <c r="M2612" s="69"/>
      <c r="N2612" s="69"/>
      <c r="O2612" s="69"/>
      <c r="P2612" s="69"/>
      <c r="Q2612" s="69"/>
      <c r="R2612" s="69"/>
      <c r="S2612" s="69"/>
      <c r="T2612" s="69"/>
      <c r="U2612" s="69"/>
      <c r="V2612" s="69"/>
      <c r="W2612" s="69"/>
    </row>
    <row r="2613" spans="7:23" x14ac:dyDescent="0.3">
      <c r="G2613" s="69"/>
      <c r="H2613" s="69"/>
      <c r="I2613" s="69"/>
      <c r="J2613" s="69"/>
      <c r="K2613" s="69"/>
      <c r="L2613" s="69"/>
      <c r="M2613" s="69"/>
      <c r="N2613" s="69"/>
      <c r="O2613" s="69"/>
      <c r="P2613" s="69"/>
      <c r="Q2613" s="69"/>
      <c r="R2613" s="69"/>
      <c r="S2613" s="69"/>
      <c r="T2613" s="69"/>
      <c r="U2613" s="69"/>
      <c r="V2613" s="69"/>
      <c r="W2613" s="69"/>
    </row>
    <row r="2614" spans="7:23" x14ac:dyDescent="0.3">
      <c r="G2614" s="69"/>
      <c r="H2614" s="69"/>
      <c r="I2614" s="69"/>
      <c r="J2614" s="69"/>
      <c r="K2614" s="69"/>
      <c r="L2614" s="69"/>
      <c r="M2614" s="69"/>
      <c r="N2614" s="69"/>
      <c r="O2614" s="69"/>
      <c r="P2614" s="69"/>
      <c r="Q2614" s="69"/>
      <c r="R2614" s="69"/>
      <c r="S2614" s="69"/>
      <c r="T2614" s="69"/>
      <c r="U2614" s="69"/>
      <c r="V2614" s="69"/>
      <c r="W2614" s="69"/>
    </row>
    <row r="2615" spans="7:23" x14ac:dyDescent="0.3">
      <c r="G2615" s="69"/>
      <c r="H2615" s="69"/>
      <c r="I2615" s="69"/>
      <c r="J2615" s="69"/>
      <c r="K2615" s="69"/>
      <c r="L2615" s="69"/>
      <c r="M2615" s="69"/>
      <c r="N2615" s="69"/>
      <c r="O2615" s="69"/>
      <c r="P2615" s="69"/>
      <c r="Q2615" s="69"/>
      <c r="R2615" s="69"/>
      <c r="S2615" s="69"/>
      <c r="T2615" s="69"/>
      <c r="U2615" s="69"/>
      <c r="V2615" s="69"/>
      <c r="W2615" s="69"/>
    </row>
    <row r="2616" spans="7:23" x14ac:dyDescent="0.3">
      <c r="G2616" s="69"/>
      <c r="H2616" s="69"/>
      <c r="I2616" s="69"/>
      <c r="J2616" s="69"/>
      <c r="K2616" s="69"/>
      <c r="L2616" s="69"/>
      <c r="M2616" s="69"/>
      <c r="N2616" s="69"/>
      <c r="O2616" s="69"/>
      <c r="P2616" s="69"/>
      <c r="Q2616" s="69"/>
      <c r="R2616" s="69"/>
      <c r="S2616" s="69"/>
      <c r="T2616" s="69"/>
      <c r="U2616" s="69"/>
      <c r="V2616" s="69"/>
      <c r="W2616" s="69"/>
    </row>
    <row r="2617" spans="7:23" x14ac:dyDescent="0.3">
      <c r="G2617" s="69"/>
      <c r="H2617" s="69"/>
      <c r="I2617" s="69"/>
      <c r="J2617" s="69"/>
      <c r="K2617" s="69"/>
      <c r="L2617" s="69"/>
      <c r="M2617" s="69"/>
      <c r="N2617" s="69"/>
      <c r="O2617" s="69"/>
      <c r="P2617" s="69"/>
      <c r="Q2617" s="69"/>
      <c r="R2617" s="69"/>
      <c r="S2617" s="69"/>
      <c r="T2617" s="69"/>
      <c r="U2617" s="69"/>
      <c r="V2617" s="69"/>
      <c r="W2617" s="69"/>
    </row>
    <row r="2618" spans="7:23" x14ac:dyDescent="0.3">
      <c r="G2618" s="69"/>
      <c r="H2618" s="69"/>
      <c r="I2618" s="69"/>
      <c r="J2618" s="69"/>
      <c r="K2618" s="69"/>
      <c r="L2618" s="69"/>
      <c r="M2618" s="69"/>
      <c r="N2618" s="69"/>
      <c r="O2618" s="69"/>
      <c r="P2618" s="69"/>
      <c r="Q2618" s="69"/>
      <c r="R2618" s="69"/>
      <c r="S2618" s="69"/>
      <c r="T2618" s="69"/>
      <c r="U2618" s="69"/>
      <c r="V2618" s="69"/>
      <c r="W2618" s="69"/>
    </row>
    <row r="2619" spans="7:23" x14ac:dyDescent="0.3">
      <c r="G2619" s="69"/>
      <c r="H2619" s="69"/>
      <c r="I2619" s="69"/>
      <c r="J2619" s="69"/>
      <c r="K2619" s="69"/>
      <c r="L2619" s="69"/>
      <c r="M2619" s="69"/>
      <c r="N2619" s="69"/>
      <c r="O2619" s="69"/>
      <c r="P2619" s="69"/>
      <c r="Q2619" s="69"/>
      <c r="R2619" s="69"/>
      <c r="S2619" s="69"/>
      <c r="T2619" s="69"/>
      <c r="U2619" s="69"/>
      <c r="V2619" s="69"/>
      <c r="W2619" s="69"/>
    </row>
    <row r="2620" spans="7:23" x14ac:dyDescent="0.3">
      <c r="G2620" s="69"/>
      <c r="H2620" s="69"/>
      <c r="I2620" s="69"/>
      <c r="J2620" s="69"/>
      <c r="K2620" s="69"/>
      <c r="L2620" s="69"/>
      <c r="M2620" s="69"/>
      <c r="N2620" s="69"/>
      <c r="O2620" s="69"/>
      <c r="P2620" s="69"/>
      <c r="Q2620" s="69"/>
      <c r="R2620" s="69"/>
      <c r="S2620" s="69"/>
      <c r="T2620" s="69"/>
      <c r="U2620" s="69"/>
      <c r="V2620" s="69"/>
      <c r="W2620" s="69"/>
    </row>
    <row r="2621" spans="7:23" x14ac:dyDescent="0.3">
      <c r="G2621" s="69"/>
      <c r="H2621" s="69"/>
      <c r="I2621" s="69"/>
      <c r="J2621" s="69"/>
      <c r="K2621" s="69"/>
      <c r="L2621" s="69"/>
      <c r="M2621" s="69"/>
      <c r="N2621" s="69"/>
      <c r="O2621" s="69"/>
      <c r="P2621" s="69"/>
      <c r="Q2621" s="69"/>
      <c r="R2621" s="69"/>
      <c r="S2621" s="69"/>
      <c r="T2621" s="69"/>
      <c r="U2621" s="69"/>
      <c r="V2621" s="69"/>
      <c r="W2621" s="69"/>
    </row>
    <row r="2622" spans="7:23" x14ac:dyDescent="0.3">
      <c r="G2622" s="69"/>
      <c r="H2622" s="69"/>
      <c r="I2622" s="69"/>
      <c r="J2622" s="69"/>
      <c r="K2622" s="69"/>
      <c r="L2622" s="69"/>
      <c r="M2622" s="69"/>
      <c r="N2622" s="69"/>
      <c r="O2622" s="69"/>
      <c r="P2622" s="69"/>
      <c r="Q2622" s="69"/>
      <c r="R2622" s="69"/>
      <c r="S2622" s="69"/>
      <c r="T2622" s="69"/>
      <c r="U2622" s="69"/>
      <c r="V2622" s="69"/>
      <c r="W2622" s="69"/>
    </row>
    <row r="2623" spans="7:23" x14ac:dyDescent="0.3">
      <c r="G2623" s="69"/>
      <c r="H2623" s="69"/>
      <c r="I2623" s="69"/>
      <c r="J2623" s="69"/>
      <c r="K2623" s="69"/>
      <c r="L2623" s="69"/>
      <c r="M2623" s="69"/>
      <c r="N2623" s="69"/>
      <c r="O2623" s="69"/>
      <c r="P2623" s="69"/>
      <c r="Q2623" s="69"/>
      <c r="R2623" s="69"/>
      <c r="S2623" s="69"/>
      <c r="T2623" s="69"/>
      <c r="U2623" s="69"/>
      <c r="V2623" s="69"/>
      <c r="W2623" s="69"/>
    </row>
    <row r="2624" spans="7:23" x14ac:dyDescent="0.3">
      <c r="G2624" s="69"/>
      <c r="H2624" s="69"/>
      <c r="I2624" s="69"/>
      <c r="J2624" s="69"/>
      <c r="K2624" s="69"/>
      <c r="L2624" s="69"/>
      <c r="M2624" s="69"/>
      <c r="N2624" s="69"/>
      <c r="O2624" s="69"/>
      <c r="P2624" s="69"/>
      <c r="Q2624" s="69"/>
      <c r="R2624" s="69"/>
      <c r="S2624" s="69"/>
      <c r="T2624" s="69"/>
      <c r="U2624" s="69"/>
      <c r="V2624" s="69"/>
      <c r="W2624" s="69"/>
    </row>
    <row r="2625" spans="7:23" x14ac:dyDescent="0.3">
      <c r="G2625" s="69"/>
      <c r="H2625" s="69"/>
      <c r="I2625" s="69"/>
      <c r="J2625" s="69"/>
      <c r="K2625" s="69"/>
      <c r="L2625" s="69"/>
      <c r="M2625" s="69"/>
      <c r="N2625" s="69"/>
      <c r="O2625" s="69"/>
      <c r="P2625" s="69"/>
      <c r="Q2625" s="69"/>
      <c r="R2625" s="69"/>
      <c r="S2625" s="69"/>
      <c r="T2625" s="69"/>
      <c r="U2625" s="69"/>
      <c r="V2625" s="69"/>
      <c r="W2625" s="69"/>
    </row>
    <row r="2626" spans="7:23" x14ac:dyDescent="0.3">
      <c r="G2626" s="69"/>
      <c r="H2626" s="69"/>
      <c r="I2626" s="69"/>
      <c r="J2626" s="69"/>
      <c r="K2626" s="69"/>
      <c r="L2626" s="69"/>
      <c r="M2626" s="69"/>
      <c r="N2626" s="69"/>
      <c r="O2626" s="69"/>
      <c r="P2626" s="69"/>
      <c r="Q2626" s="69"/>
      <c r="R2626" s="69"/>
      <c r="S2626" s="69"/>
      <c r="T2626" s="69"/>
      <c r="U2626" s="69"/>
      <c r="V2626" s="69"/>
      <c r="W2626" s="69"/>
    </row>
    <row r="2627" spans="7:23" x14ac:dyDescent="0.3">
      <c r="G2627" s="69"/>
      <c r="H2627" s="69"/>
      <c r="I2627" s="69"/>
      <c r="J2627" s="69"/>
      <c r="K2627" s="69"/>
      <c r="L2627" s="69"/>
      <c r="M2627" s="69"/>
      <c r="N2627" s="69"/>
      <c r="O2627" s="69"/>
      <c r="P2627" s="69"/>
      <c r="Q2627" s="69"/>
      <c r="R2627" s="69"/>
      <c r="S2627" s="69"/>
      <c r="T2627" s="69"/>
      <c r="U2627" s="69"/>
      <c r="V2627" s="69"/>
      <c r="W2627" s="69"/>
    </row>
    <row r="2628" spans="7:23" x14ac:dyDescent="0.3">
      <c r="G2628" s="69"/>
      <c r="H2628" s="69"/>
      <c r="I2628" s="69"/>
      <c r="J2628" s="69"/>
      <c r="K2628" s="69"/>
      <c r="L2628" s="69"/>
      <c r="M2628" s="69"/>
      <c r="N2628" s="69"/>
      <c r="O2628" s="69"/>
      <c r="P2628" s="69"/>
      <c r="Q2628" s="69"/>
      <c r="R2628" s="69"/>
      <c r="S2628" s="69"/>
      <c r="T2628" s="69"/>
      <c r="U2628" s="69"/>
      <c r="V2628" s="69"/>
      <c r="W2628" s="69"/>
    </row>
    <row r="2629" spans="7:23" x14ac:dyDescent="0.3">
      <c r="G2629" s="69"/>
      <c r="H2629" s="69"/>
      <c r="I2629" s="69"/>
      <c r="J2629" s="69"/>
      <c r="K2629" s="69"/>
      <c r="L2629" s="69"/>
      <c r="M2629" s="69"/>
      <c r="N2629" s="69"/>
      <c r="O2629" s="69"/>
      <c r="P2629" s="69"/>
      <c r="Q2629" s="69"/>
      <c r="R2629" s="69"/>
      <c r="S2629" s="69"/>
      <c r="T2629" s="69"/>
      <c r="U2629" s="69"/>
      <c r="V2629" s="69"/>
      <c r="W2629" s="69"/>
    </row>
    <row r="2630" spans="7:23" x14ac:dyDescent="0.3">
      <c r="G2630" s="69"/>
      <c r="H2630" s="69"/>
      <c r="I2630" s="69"/>
      <c r="J2630" s="69"/>
      <c r="K2630" s="69"/>
      <c r="L2630" s="69"/>
      <c r="M2630" s="69"/>
      <c r="N2630" s="69"/>
      <c r="O2630" s="69"/>
      <c r="P2630" s="69"/>
      <c r="Q2630" s="69"/>
      <c r="R2630" s="69"/>
      <c r="S2630" s="69"/>
      <c r="T2630" s="69"/>
      <c r="U2630" s="69"/>
      <c r="V2630" s="69"/>
      <c r="W2630" s="69"/>
    </row>
    <row r="2631" spans="7:23" x14ac:dyDescent="0.3">
      <c r="G2631" s="69"/>
      <c r="H2631" s="69"/>
      <c r="I2631" s="69"/>
      <c r="J2631" s="69"/>
      <c r="K2631" s="69"/>
      <c r="L2631" s="69"/>
      <c r="M2631" s="69"/>
      <c r="N2631" s="69"/>
      <c r="O2631" s="69"/>
      <c r="P2631" s="69"/>
      <c r="Q2631" s="69"/>
      <c r="R2631" s="69"/>
      <c r="S2631" s="69"/>
      <c r="T2631" s="69"/>
      <c r="U2631" s="69"/>
      <c r="V2631" s="69"/>
      <c r="W2631" s="69"/>
    </row>
    <row r="2632" spans="7:23" x14ac:dyDescent="0.3">
      <c r="G2632" s="69"/>
      <c r="H2632" s="69"/>
      <c r="I2632" s="69"/>
      <c r="J2632" s="69"/>
      <c r="K2632" s="69"/>
      <c r="L2632" s="69"/>
      <c r="M2632" s="69"/>
      <c r="N2632" s="69"/>
      <c r="O2632" s="69"/>
      <c r="P2632" s="69"/>
      <c r="Q2632" s="69"/>
      <c r="R2632" s="69"/>
      <c r="S2632" s="69"/>
      <c r="T2632" s="69"/>
      <c r="U2632" s="69"/>
      <c r="V2632" s="69"/>
      <c r="W2632" s="69"/>
    </row>
    <row r="2633" spans="7:23" x14ac:dyDescent="0.3">
      <c r="G2633" s="69"/>
      <c r="H2633" s="69"/>
      <c r="I2633" s="69"/>
      <c r="J2633" s="69"/>
      <c r="K2633" s="69"/>
      <c r="L2633" s="69"/>
      <c r="M2633" s="69"/>
      <c r="N2633" s="69"/>
      <c r="O2633" s="69"/>
      <c r="P2633" s="69"/>
      <c r="Q2633" s="69"/>
      <c r="R2633" s="69"/>
      <c r="S2633" s="69"/>
      <c r="T2633" s="69"/>
      <c r="U2633" s="69"/>
      <c r="V2633" s="69"/>
      <c r="W2633" s="69"/>
    </row>
    <row r="2634" spans="7:23" x14ac:dyDescent="0.3">
      <c r="G2634" s="69"/>
      <c r="H2634" s="69"/>
      <c r="I2634" s="69"/>
      <c r="J2634" s="69"/>
      <c r="K2634" s="69"/>
      <c r="L2634" s="69"/>
      <c r="M2634" s="69"/>
      <c r="N2634" s="69"/>
      <c r="O2634" s="69"/>
      <c r="P2634" s="69"/>
      <c r="Q2634" s="69"/>
      <c r="R2634" s="69"/>
      <c r="S2634" s="69"/>
      <c r="T2634" s="69"/>
      <c r="U2634" s="69"/>
      <c r="V2634" s="69"/>
      <c r="W2634" s="69"/>
    </row>
    <row r="2635" spans="7:23" x14ac:dyDescent="0.3">
      <c r="G2635" s="69"/>
      <c r="H2635" s="69"/>
      <c r="I2635" s="69"/>
      <c r="J2635" s="69"/>
      <c r="K2635" s="69"/>
      <c r="L2635" s="69"/>
      <c r="M2635" s="69"/>
      <c r="N2635" s="69"/>
      <c r="O2635" s="69"/>
      <c r="P2635" s="69"/>
      <c r="Q2635" s="69"/>
      <c r="R2635" s="69"/>
      <c r="S2635" s="69"/>
      <c r="T2635" s="69"/>
      <c r="U2635" s="69"/>
      <c r="V2635" s="69"/>
      <c r="W2635" s="69"/>
    </row>
    <row r="2636" spans="7:23" x14ac:dyDescent="0.3">
      <c r="G2636" s="69"/>
      <c r="H2636" s="69"/>
      <c r="I2636" s="69"/>
      <c r="J2636" s="69"/>
      <c r="K2636" s="69"/>
      <c r="L2636" s="69"/>
      <c r="M2636" s="69"/>
      <c r="N2636" s="69"/>
      <c r="O2636" s="69"/>
      <c r="P2636" s="69"/>
      <c r="Q2636" s="69"/>
      <c r="R2636" s="69"/>
      <c r="S2636" s="69"/>
      <c r="T2636" s="69"/>
      <c r="U2636" s="69"/>
      <c r="V2636" s="69"/>
      <c r="W2636" s="69"/>
    </row>
    <row r="2637" spans="7:23" x14ac:dyDescent="0.3">
      <c r="G2637" s="69"/>
      <c r="H2637" s="69"/>
      <c r="I2637" s="69"/>
      <c r="J2637" s="69"/>
      <c r="K2637" s="69"/>
      <c r="L2637" s="69"/>
      <c r="M2637" s="69"/>
      <c r="N2637" s="69"/>
      <c r="O2637" s="69"/>
      <c r="P2637" s="69"/>
      <c r="Q2637" s="69"/>
      <c r="R2637" s="69"/>
      <c r="S2637" s="69"/>
      <c r="T2637" s="69"/>
      <c r="U2637" s="69"/>
      <c r="V2637" s="69"/>
      <c r="W2637" s="69"/>
    </row>
    <row r="2638" spans="7:23" x14ac:dyDescent="0.3">
      <c r="G2638" s="69"/>
      <c r="H2638" s="69"/>
      <c r="I2638" s="69"/>
      <c r="J2638" s="69"/>
      <c r="K2638" s="69"/>
      <c r="L2638" s="69"/>
      <c r="M2638" s="69"/>
      <c r="N2638" s="69"/>
      <c r="O2638" s="69"/>
      <c r="P2638" s="69"/>
      <c r="Q2638" s="69"/>
      <c r="R2638" s="69"/>
      <c r="S2638" s="69"/>
      <c r="T2638" s="69"/>
      <c r="U2638" s="69"/>
      <c r="V2638" s="69"/>
      <c r="W2638" s="69"/>
    </row>
    <row r="2639" spans="7:23" x14ac:dyDescent="0.3">
      <c r="G2639" s="69"/>
      <c r="H2639" s="69"/>
      <c r="I2639" s="69"/>
      <c r="J2639" s="69"/>
      <c r="K2639" s="69"/>
      <c r="L2639" s="69"/>
      <c r="M2639" s="69"/>
      <c r="N2639" s="69"/>
      <c r="O2639" s="69"/>
      <c r="P2639" s="69"/>
      <c r="Q2639" s="69"/>
      <c r="R2639" s="69"/>
      <c r="S2639" s="69"/>
      <c r="T2639" s="69"/>
      <c r="U2639" s="69"/>
      <c r="V2639" s="69"/>
      <c r="W2639" s="69"/>
    </row>
    <row r="2640" spans="7:23" x14ac:dyDescent="0.3">
      <c r="G2640" s="69"/>
      <c r="H2640" s="69"/>
      <c r="I2640" s="69"/>
      <c r="J2640" s="69"/>
      <c r="K2640" s="69"/>
      <c r="L2640" s="69"/>
      <c r="M2640" s="69"/>
      <c r="N2640" s="69"/>
      <c r="O2640" s="69"/>
      <c r="P2640" s="69"/>
      <c r="Q2640" s="69"/>
      <c r="R2640" s="69"/>
      <c r="S2640" s="69"/>
      <c r="T2640" s="69"/>
      <c r="U2640" s="69"/>
      <c r="V2640" s="69"/>
      <c r="W2640" s="69"/>
    </row>
    <row r="2641" spans="7:23" x14ac:dyDescent="0.3">
      <c r="G2641" s="69"/>
      <c r="H2641" s="69"/>
      <c r="I2641" s="69"/>
      <c r="J2641" s="69"/>
      <c r="K2641" s="69"/>
      <c r="L2641" s="69"/>
      <c r="M2641" s="69"/>
      <c r="N2641" s="69"/>
      <c r="O2641" s="69"/>
      <c r="P2641" s="69"/>
      <c r="Q2641" s="69"/>
      <c r="R2641" s="69"/>
      <c r="S2641" s="69"/>
      <c r="T2641" s="69"/>
      <c r="U2641" s="69"/>
      <c r="V2641" s="69"/>
      <c r="W2641" s="69"/>
    </row>
    <row r="2642" spans="7:23" x14ac:dyDescent="0.3">
      <c r="G2642" s="69"/>
      <c r="H2642" s="69"/>
      <c r="I2642" s="69"/>
      <c r="J2642" s="69"/>
      <c r="K2642" s="69"/>
      <c r="L2642" s="69"/>
      <c r="M2642" s="69"/>
      <c r="N2642" s="69"/>
      <c r="O2642" s="69"/>
      <c r="P2642" s="69"/>
      <c r="Q2642" s="69"/>
      <c r="R2642" s="69"/>
      <c r="S2642" s="69"/>
      <c r="T2642" s="69"/>
      <c r="U2642" s="69"/>
      <c r="V2642" s="69"/>
      <c r="W2642" s="69"/>
    </row>
    <row r="2643" spans="7:23" x14ac:dyDescent="0.3">
      <c r="G2643" s="69"/>
      <c r="H2643" s="69"/>
      <c r="I2643" s="69"/>
      <c r="J2643" s="69"/>
      <c r="K2643" s="69"/>
      <c r="L2643" s="69"/>
      <c r="M2643" s="69"/>
      <c r="N2643" s="69"/>
      <c r="O2643" s="69"/>
      <c r="P2643" s="69"/>
      <c r="Q2643" s="69"/>
      <c r="R2643" s="69"/>
      <c r="S2643" s="69"/>
      <c r="T2643" s="69"/>
      <c r="U2643" s="69"/>
      <c r="V2643" s="69"/>
      <c r="W2643" s="69"/>
    </row>
    <row r="2644" spans="7:23" x14ac:dyDescent="0.3">
      <c r="G2644" s="69"/>
      <c r="H2644" s="69"/>
      <c r="I2644" s="69"/>
      <c r="J2644" s="69"/>
      <c r="K2644" s="69"/>
      <c r="L2644" s="69"/>
      <c r="M2644" s="69"/>
      <c r="N2644" s="69"/>
      <c r="O2644" s="69"/>
      <c r="P2644" s="69"/>
      <c r="Q2644" s="69"/>
      <c r="R2644" s="69"/>
      <c r="S2644" s="69"/>
      <c r="T2644" s="69"/>
      <c r="U2644" s="69"/>
      <c r="V2644" s="69"/>
      <c r="W2644" s="69"/>
    </row>
    <row r="2645" spans="7:23" x14ac:dyDescent="0.3">
      <c r="G2645" s="69"/>
      <c r="H2645" s="69"/>
      <c r="I2645" s="69"/>
      <c r="J2645" s="69"/>
      <c r="K2645" s="69"/>
      <c r="L2645" s="69"/>
      <c r="M2645" s="69"/>
      <c r="N2645" s="69"/>
      <c r="O2645" s="69"/>
      <c r="P2645" s="69"/>
      <c r="Q2645" s="69"/>
      <c r="R2645" s="69"/>
      <c r="S2645" s="69"/>
      <c r="T2645" s="69"/>
      <c r="U2645" s="69"/>
      <c r="V2645" s="69"/>
      <c r="W2645" s="69"/>
    </row>
    <row r="2646" spans="7:23" x14ac:dyDescent="0.3">
      <c r="G2646" s="69"/>
      <c r="H2646" s="69"/>
      <c r="I2646" s="69"/>
      <c r="J2646" s="69"/>
      <c r="K2646" s="69"/>
      <c r="L2646" s="69"/>
      <c r="M2646" s="69"/>
      <c r="N2646" s="69"/>
      <c r="O2646" s="69"/>
      <c r="P2646" s="69"/>
      <c r="Q2646" s="69"/>
      <c r="R2646" s="69"/>
      <c r="S2646" s="69"/>
      <c r="T2646" s="69"/>
      <c r="U2646" s="69"/>
      <c r="V2646" s="69"/>
      <c r="W2646" s="69"/>
    </row>
    <row r="2647" spans="7:23" x14ac:dyDescent="0.3">
      <c r="G2647" s="69"/>
      <c r="H2647" s="69"/>
      <c r="I2647" s="69"/>
      <c r="J2647" s="69"/>
      <c r="K2647" s="69"/>
      <c r="L2647" s="69"/>
      <c r="M2647" s="69"/>
      <c r="N2647" s="69"/>
      <c r="O2647" s="69"/>
      <c r="P2647" s="69"/>
      <c r="Q2647" s="69"/>
      <c r="R2647" s="69"/>
      <c r="S2647" s="69"/>
      <c r="T2647" s="69"/>
      <c r="U2647" s="69"/>
      <c r="V2647" s="69"/>
      <c r="W2647" s="69"/>
    </row>
    <row r="2648" spans="7:23" x14ac:dyDescent="0.3">
      <c r="G2648" s="69"/>
      <c r="H2648" s="69"/>
      <c r="I2648" s="69"/>
      <c r="J2648" s="69"/>
      <c r="K2648" s="69"/>
      <c r="L2648" s="69"/>
      <c r="M2648" s="69"/>
      <c r="N2648" s="69"/>
      <c r="O2648" s="69"/>
      <c r="P2648" s="69"/>
      <c r="Q2648" s="69"/>
      <c r="R2648" s="69"/>
      <c r="S2648" s="69"/>
      <c r="T2648" s="69"/>
      <c r="U2648" s="69"/>
      <c r="V2648" s="69"/>
      <c r="W2648" s="69"/>
    </row>
    <row r="2649" spans="7:23" x14ac:dyDescent="0.3">
      <c r="G2649" s="69"/>
      <c r="H2649" s="69"/>
      <c r="I2649" s="69"/>
      <c r="J2649" s="69"/>
      <c r="K2649" s="69"/>
      <c r="L2649" s="69"/>
      <c r="M2649" s="69"/>
      <c r="N2649" s="69"/>
      <c r="O2649" s="69"/>
      <c r="P2649" s="69"/>
      <c r="Q2649" s="69"/>
      <c r="R2649" s="69"/>
      <c r="S2649" s="69"/>
      <c r="T2649" s="69"/>
      <c r="U2649" s="69"/>
      <c r="V2649" s="69"/>
      <c r="W2649" s="69"/>
    </row>
    <row r="2650" spans="7:23" x14ac:dyDescent="0.3">
      <c r="G2650" s="69"/>
      <c r="H2650" s="69"/>
      <c r="I2650" s="69"/>
      <c r="J2650" s="69"/>
      <c r="K2650" s="69"/>
      <c r="L2650" s="69"/>
      <c r="M2650" s="69"/>
      <c r="N2650" s="69"/>
      <c r="O2650" s="69"/>
      <c r="P2650" s="69"/>
      <c r="Q2650" s="69"/>
      <c r="R2650" s="69"/>
      <c r="S2650" s="69"/>
      <c r="T2650" s="69"/>
      <c r="U2650" s="69"/>
      <c r="V2650" s="69"/>
      <c r="W2650" s="69"/>
    </row>
    <row r="2651" spans="7:23" x14ac:dyDescent="0.3">
      <c r="G2651" s="69"/>
      <c r="H2651" s="69"/>
      <c r="I2651" s="69"/>
      <c r="J2651" s="69"/>
      <c r="K2651" s="69"/>
      <c r="L2651" s="69"/>
      <c r="M2651" s="69"/>
      <c r="N2651" s="69"/>
      <c r="O2651" s="69"/>
      <c r="P2651" s="69"/>
      <c r="Q2651" s="69"/>
      <c r="R2651" s="69"/>
      <c r="S2651" s="69"/>
      <c r="T2651" s="69"/>
      <c r="U2651" s="69"/>
      <c r="V2651" s="69"/>
      <c r="W2651" s="69"/>
    </row>
    <row r="2652" spans="7:23" x14ac:dyDescent="0.3">
      <c r="G2652" s="69"/>
      <c r="H2652" s="69"/>
      <c r="I2652" s="69"/>
      <c r="J2652" s="69"/>
      <c r="K2652" s="69"/>
      <c r="L2652" s="69"/>
      <c r="M2652" s="69"/>
      <c r="N2652" s="69"/>
      <c r="O2652" s="69"/>
      <c r="P2652" s="69"/>
      <c r="Q2652" s="69"/>
      <c r="R2652" s="69"/>
      <c r="S2652" s="69"/>
      <c r="T2652" s="69"/>
      <c r="U2652" s="69"/>
      <c r="V2652" s="69"/>
      <c r="W2652" s="69"/>
    </row>
    <row r="2653" spans="7:23" x14ac:dyDescent="0.3">
      <c r="G2653" s="69"/>
      <c r="H2653" s="69"/>
      <c r="I2653" s="69"/>
      <c r="J2653" s="69"/>
      <c r="K2653" s="69"/>
      <c r="L2653" s="69"/>
      <c r="M2653" s="69"/>
      <c r="N2653" s="69"/>
      <c r="O2653" s="69"/>
      <c r="P2653" s="69"/>
      <c r="Q2653" s="69"/>
      <c r="R2653" s="69"/>
      <c r="S2653" s="69"/>
      <c r="T2653" s="69"/>
      <c r="U2653" s="69"/>
      <c r="V2653" s="69"/>
      <c r="W2653" s="69"/>
    </row>
    <row r="2654" spans="7:23" x14ac:dyDescent="0.3">
      <c r="G2654" s="69"/>
      <c r="H2654" s="69"/>
      <c r="I2654" s="69"/>
      <c r="J2654" s="69"/>
      <c r="K2654" s="69"/>
      <c r="L2654" s="69"/>
      <c r="M2654" s="69"/>
      <c r="N2654" s="69"/>
      <c r="O2654" s="69"/>
      <c r="P2654" s="69"/>
      <c r="Q2654" s="69"/>
      <c r="R2654" s="69"/>
      <c r="S2654" s="69"/>
      <c r="T2654" s="69"/>
      <c r="U2654" s="69"/>
      <c r="V2654" s="69"/>
      <c r="W2654" s="69"/>
    </row>
    <row r="2655" spans="7:23" x14ac:dyDescent="0.3">
      <c r="G2655" s="69"/>
      <c r="H2655" s="69"/>
      <c r="I2655" s="69"/>
      <c r="J2655" s="69"/>
      <c r="K2655" s="69"/>
      <c r="L2655" s="69"/>
      <c r="M2655" s="69"/>
      <c r="N2655" s="69"/>
      <c r="O2655" s="69"/>
      <c r="P2655" s="69"/>
      <c r="Q2655" s="69"/>
      <c r="R2655" s="69"/>
      <c r="S2655" s="69"/>
      <c r="T2655" s="69"/>
      <c r="U2655" s="69"/>
      <c r="V2655" s="69"/>
      <c r="W2655" s="69"/>
    </row>
    <row r="2656" spans="7:23" x14ac:dyDescent="0.3">
      <c r="G2656" s="69"/>
      <c r="H2656" s="69"/>
      <c r="I2656" s="69"/>
      <c r="J2656" s="69"/>
      <c r="K2656" s="69"/>
      <c r="L2656" s="69"/>
      <c r="M2656" s="69"/>
      <c r="N2656" s="69"/>
      <c r="O2656" s="69"/>
      <c r="P2656" s="69"/>
      <c r="Q2656" s="69"/>
      <c r="R2656" s="69"/>
      <c r="S2656" s="69"/>
      <c r="T2656" s="69"/>
      <c r="U2656" s="69"/>
      <c r="V2656" s="69"/>
      <c r="W2656" s="69"/>
    </row>
    <row r="2657" spans="1:23" x14ac:dyDescent="0.3">
      <c r="G2657" s="69"/>
      <c r="H2657" s="69"/>
      <c r="I2657" s="69"/>
      <c r="J2657" s="69"/>
      <c r="K2657" s="69"/>
      <c r="L2657" s="69"/>
      <c r="M2657" s="69"/>
      <c r="N2657" s="69"/>
      <c r="O2657" s="69"/>
      <c r="P2657" s="69"/>
      <c r="Q2657" s="69"/>
      <c r="R2657" s="69"/>
      <c r="S2657" s="69"/>
      <c r="T2657" s="69"/>
      <c r="U2657" s="69"/>
      <c r="V2657" s="69"/>
      <c r="W2657" s="69"/>
    </row>
    <row r="2658" spans="1:23" x14ac:dyDescent="0.3">
      <c r="G2658" s="69"/>
      <c r="H2658" s="69"/>
      <c r="I2658" s="69"/>
      <c r="J2658" s="69"/>
      <c r="K2658" s="69"/>
      <c r="L2658" s="69"/>
      <c r="M2658" s="69"/>
      <c r="N2658" s="69"/>
      <c r="O2658" s="69"/>
      <c r="P2658" s="69"/>
      <c r="Q2658" s="69"/>
      <c r="R2658" s="69"/>
      <c r="S2658" s="69"/>
      <c r="T2658" s="69"/>
      <c r="U2658" s="69"/>
      <c r="V2658" s="69"/>
      <c r="W2658" s="69"/>
    </row>
    <row r="2659" spans="1:23" x14ac:dyDescent="0.3">
      <c r="G2659" s="69"/>
      <c r="H2659" s="69"/>
      <c r="I2659" s="69"/>
      <c r="J2659" s="69"/>
      <c r="K2659" s="69"/>
      <c r="L2659" s="69"/>
      <c r="M2659" s="69"/>
      <c r="N2659" s="69"/>
      <c r="O2659" s="69"/>
      <c r="P2659" s="69"/>
      <c r="Q2659" s="69"/>
      <c r="R2659" s="69"/>
      <c r="S2659" s="69"/>
      <c r="T2659" s="69"/>
      <c r="U2659" s="69"/>
      <c r="V2659" s="69"/>
      <c r="W2659" s="69"/>
    </row>
    <row r="2660" spans="1:23" ht="21" x14ac:dyDescent="0.4">
      <c r="A2660" s="48"/>
      <c r="G2660" s="69"/>
      <c r="H2660" s="69"/>
      <c r="I2660" s="69"/>
      <c r="J2660" s="69"/>
      <c r="K2660" s="69"/>
      <c r="L2660" s="69"/>
      <c r="M2660" s="69"/>
      <c r="N2660" s="69"/>
      <c r="O2660" s="69"/>
      <c r="P2660" s="69"/>
      <c r="Q2660" s="69"/>
      <c r="R2660" s="69"/>
      <c r="S2660" s="69"/>
      <c r="T2660" s="69"/>
      <c r="U2660" s="69"/>
      <c r="V2660" s="69"/>
      <c r="W2660" s="69"/>
    </row>
    <row r="2661" spans="1:23" x14ac:dyDescent="0.3">
      <c r="G2661" s="69"/>
      <c r="H2661" s="69"/>
      <c r="I2661" s="69"/>
      <c r="J2661" s="69"/>
      <c r="K2661" s="69"/>
      <c r="L2661" s="69"/>
      <c r="M2661" s="69"/>
      <c r="N2661" s="69"/>
      <c r="O2661" s="69"/>
      <c r="P2661" s="69"/>
      <c r="Q2661" s="69"/>
      <c r="R2661" s="69"/>
      <c r="S2661" s="69"/>
      <c r="T2661" s="69"/>
      <c r="U2661" s="69"/>
      <c r="V2661" s="69"/>
      <c r="W2661" s="69"/>
    </row>
    <row r="2662" spans="1:23" x14ac:dyDescent="0.3">
      <c r="G2662" s="69"/>
      <c r="H2662" s="69"/>
      <c r="I2662" s="69"/>
      <c r="J2662" s="69"/>
      <c r="K2662" s="69"/>
      <c r="L2662" s="69"/>
      <c r="M2662" s="69"/>
      <c r="N2662" s="69"/>
      <c r="O2662" s="69"/>
      <c r="P2662" s="69"/>
      <c r="Q2662" s="69"/>
      <c r="R2662" s="69"/>
      <c r="S2662" s="69"/>
      <c r="T2662" s="69"/>
      <c r="U2662" s="69"/>
      <c r="V2662" s="69"/>
      <c r="W2662" s="69"/>
    </row>
    <row r="2663" spans="1:23" x14ac:dyDescent="0.3">
      <c r="G2663" s="69"/>
      <c r="H2663" s="69"/>
      <c r="I2663" s="69"/>
      <c r="J2663" s="69"/>
      <c r="K2663" s="69"/>
      <c r="L2663" s="69"/>
      <c r="M2663" s="69"/>
      <c r="N2663" s="69"/>
      <c r="O2663" s="69"/>
      <c r="P2663" s="69"/>
      <c r="Q2663" s="69"/>
      <c r="R2663" s="69"/>
      <c r="S2663" s="69"/>
      <c r="T2663" s="69"/>
      <c r="U2663" s="69"/>
      <c r="V2663" s="69"/>
      <c r="W2663" s="69"/>
    </row>
    <row r="2664" spans="1:23" x14ac:dyDescent="0.3">
      <c r="G2664" s="69"/>
      <c r="H2664" s="69"/>
      <c r="I2664" s="69"/>
      <c r="J2664" s="69"/>
      <c r="K2664" s="69"/>
      <c r="L2664" s="69"/>
      <c r="M2664" s="69"/>
      <c r="N2664" s="69"/>
      <c r="O2664" s="69"/>
      <c r="P2664" s="69"/>
      <c r="Q2664" s="69"/>
      <c r="R2664" s="69"/>
      <c r="S2664" s="69"/>
      <c r="T2664" s="69"/>
      <c r="U2664" s="69"/>
      <c r="V2664" s="69"/>
      <c r="W2664" s="69"/>
    </row>
    <row r="2665" spans="1:23" x14ac:dyDescent="0.3">
      <c r="G2665" s="69"/>
      <c r="H2665" s="69"/>
      <c r="I2665" s="69"/>
      <c r="J2665" s="69"/>
      <c r="K2665" s="69"/>
      <c r="L2665" s="69"/>
      <c r="M2665" s="69"/>
      <c r="N2665" s="69"/>
      <c r="O2665" s="69"/>
      <c r="P2665" s="69"/>
      <c r="Q2665" s="69"/>
      <c r="R2665" s="69"/>
      <c r="S2665" s="69"/>
      <c r="T2665" s="69"/>
      <c r="U2665" s="69"/>
      <c r="V2665" s="69"/>
      <c r="W2665" s="69"/>
    </row>
    <row r="2666" spans="1:23" x14ac:dyDescent="0.3">
      <c r="G2666" s="69"/>
      <c r="H2666" s="69"/>
      <c r="I2666" s="69"/>
      <c r="J2666" s="69"/>
      <c r="K2666" s="69"/>
      <c r="L2666" s="69"/>
      <c r="M2666" s="69"/>
      <c r="N2666" s="69"/>
      <c r="O2666" s="69"/>
      <c r="P2666" s="69"/>
      <c r="Q2666" s="69"/>
      <c r="R2666" s="69"/>
      <c r="S2666" s="69"/>
      <c r="T2666" s="69"/>
      <c r="U2666" s="69"/>
      <c r="V2666" s="69"/>
      <c r="W2666" s="69"/>
    </row>
    <row r="2667" spans="1:23" x14ac:dyDescent="0.3">
      <c r="G2667" s="69"/>
      <c r="H2667" s="69"/>
      <c r="I2667" s="69"/>
      <c r="J2667" s="69"/>
      <c r="K2667" s="69"/>
      <c r="L2667" s="69"/>
      <c r="M2667" s="69"/>
      <c r="N2667" s="69"/>
      <c r="O2667" s="69"/>
      <c r="P2667" s="69"/>
      <c r="Q2667" s="69"/>
      <c r="R2667" s="69"/>
      <c r="S2667" s="69"/>
      <c r="T2667" s="69"/>
      <c r="U2667" s="69"/>
      <c r="V2667" s="69"/>
      <c r="W2667" s="69"/>
    </row>
    <row r="2668" spans="1:23" x14ac:dyDescent="0.3">
      <c r="G2668" s="69"/>
      <c r="H2668" s="69"/>
      <c r="I2668" s="69"/>
      <c r="J2668" s="69"/>
      <c r="K2668" s="69"/>
      <c r="L2668" s="69"/>
      <c r="M2668" s="69"/>
      <c r="N2668" s="69"/>
      <c r="O2668" s="69"/>
      <c r="P2668" s="69"/>
      <c r="Q2668" s="69"/>
      <c r="R2668" s="69"/>
      <c r="S2668" s="69"/>
      <c r="T2668" s="69"/>
      <c r="U2668" s="69"/>
      <c r="V2668" s="69"/>
      <c r="W2668" s="69"/>
    </row>
    <row r="2669" spans="1:23" x14ac:dyDescent="0.3">
      <c r="G2669" s="69"/>
      <c r="H2669" s="69"/>
      <c r="I2669" s="69"/>
      <c r="J2669" s="69"/>
      <c r="K2669" s="69"/>
      <c r="L2669" s="69"/>
      <c r="M2669" s="69"/>
      <c r="N2669" s="69"/>
      <c r="O2669" s="69"/>
      <c r="P2669" s="69"/>
      <c r="Q2669" s="69"/>
      <c r="R2669" s="69"/>
      <c r="S2669" s="69"/>
      <c r="T2669" s="69"/>
      <c r="U2669" s="69"/>
      <c r="V2669" s="69"/>
      <c r="W2669" s="69"/>
    </row>
    <row r="2670" spans="1:23" x14ac:dyDescent="0.3">
      <c r="G2670" s="69"/>
      <c r="H2670" s="69"/>
      <c r="I2670" s="69"/>
      <c r="J2670" s="69"/>
      <c r="K2670" s="69"/>
      <c r="L2670" s="69"/>
      <c r="M2670" s="69"/>
      <c r="N2670" s="69"/>
      <c r="O2670" s="69"/>
      <c r="P2670" s="69"/>
      <c r="Q2670" s="69"/>
      <c r="R2670" s="69"/>
      <c r="S2670" s="69"/>
      <c r="T2670" s="69"/>
      <c r="U2670" s="69"/>
      <c r="V2670" s="69"/>
      <c r="W2670" s="69"/>
    </row>
    <row r="2671" spans="1:23" x14ac:dyDescent="0.3">
      <c r="G2671" s="69"/>
      <c r="H2671" s="69"/>
      <c r="I2671" s="69"/>
      <c r="J2671" s="69"/>
      <c r="K2671" s="69"/>
      <c r="L2671" s="69"/>
      <c r="M2671" s="69"/>
      <c r="N2671" s="69"/>
      <c r="O2671" s="69"/>
      <c r="P2671" s="69"/>
      <c r="Q2671" s="69"/>
      <c r="R2671" s="69"/>
      <c r="S2671" s="69"/>
      <c r="T2671" s="69"/>
      <c r="U2671" s="69"/>
      <c r="V2671" s="69"/>
      <c r="W2671" s="69"/>
    </row>
    <row r="2672" spans="1:23" x14ac:dyDescent="0.3">
      <c r="G2672" s="69"/>
      <c r="H2672" s="69"/>
      <c r="I2672" s="69"/>
      <c r="J2672" s="69"/>
      <c r="K2672" s="69"/>
      <c r="L2672" s="69"/>
      <c r="M2672" s="69"/>
      <c r="N2672" s="69"/>
      <c r="O2672" s="69"/>
      <c r="P2672" s="69"/>
      <c r="Q2672" s="69"/>
      <c r="R2672" s="69"/>
      <c r="S2672" s="69"/>
      <c r="T2672" s="69"/>
      <c r="U2672" s="69"/>
      <c r="V2672" s="69"/>
      <c r="W2672" s="69"/>
    </row>
    <row r="2673" spans="7:23" x14ac:dyDescent="0.3">
      <c r="G2673" s="69"/>
      <c r="H2673" s="69"/>
      <c r="I2673" s="69"/>
      <c r="J2673" s="69"/>
      <c r="K2673" s="69"/>
      <c r="L2673" s="69"/>
      <c r="M2673" s="69"/>
      <c r="N2673" s="69"/>
      <c r="O2673" s="69"/>
      <c r="P2673" s="69"/>
      <c r="Q2673" s="69"/>
      <c r="R2673" s="69"/>
      <c r="S2673" s="69"/>
      <c r="T2673" s="69"/>
      <c r="U2673" s="69"/>
      <c r="V2673" s="69"/>
      <c r="W2673" s="69"/>
    </row>
    <row r="2674" spans="7:23" x14ac:dyDescent="0.3">
      <c r="G2674" s="69"/>
      <c r="H2674" s="69"/>
      <c r="I2674" s="69"/>
      <c r="J2674" s="69"/>
      <c r="K2674" s="69"/>
      <c r="L2674" s="69"/>
      <c r="M2674" s="69"/>
      <c r="N2674" s="69"/>
      <c r="O2674" s="69"/>
      <c r="P2674" s="69"/>
      <c r="Q2674" s="69"/>
      <c r="R2674" s="69"/>
      <c r="S2674" s="69"/>
      <c r="T2674" s="69"/>
      <c r="U2674" s="69"/>
      <c r="V2674" s="69"/>
      <c r="W2674" s="69"/>
    </row>
    <row r="2675" spans="7:23" x14ac:dyDescent="0.3">
      <c r="G2675" s="69"/>
      <c r="H2675" s="69"/>
      <c r="I2675" s="69"/>
      <c r="J2675" s="69"/>
      <c r="K2675" s="69"/>
      <c r="L2675" s="69"/>
      <c r="M2675" s="69"/>
      <c r="N2675" s="69"/>
      <c r="O2675" s="69"/>
      <c r="P2675" s="69"/>
      <c r="Q2675" s="69"/>
      <c r="R2675" s="69"/>
      <c r="S2675" s="69"/>
      <c r="T2675" s="69"/>
      <c r="U2675" s="69"/>
      <c r="V2675" s="69"/>
      <c r="W2675" s="69"/>
    </row>
    <row r="2676" spans="7:23" x14ac:dyDescent="0.3">
      <c r="G2676" s="69"/>
      <c r="H2676" s="69"/>
      <c r="I2676" s="69"/>
      <c r="J2676" s="69"/>
      <c r="K2676" s="69"/>
      <c r="L2676" s="69"/>
      <c r="M2676" s="69"/>
      <c r="N2676" s="69"/>
      <c r="O2676" s="69"/>
      <c r="P2676" s="69"/>
      <c r="Q2676" s="69"/>
      <c r="R2676" s="69"/>
      <c r="S2676" s="69"/>
      <c r="T2676" s="69"/>
      <c r="U2676" s="69"/>
      <c r="V2676" s="69"/>
      <c r="W2676" s="69"/>
    </row>
    <row r="2677" spans="7:23" x14ac:dyDescent="0.3">
      <c r="G2677" s="69"/>
      <c r="H2677" s="69"/>
      <c r="I2677" s="69"/>
      <c r="J2677" s="69"/>
      <c r="K2677" s="69"/>
      <c r="L2677" s="69"/>
      <c r="M2677" s="69"/>
      <c r="N2677" s="69"/>
      <c r="O2677" s="69"/>
      <c r="P2677" s="69"/>
      <c r="Q2677" s="69"/>
      <c r="R2677" s="69"/>
      <c r="S2677" s="69"/>
      <c r="T2677" s="69"/>
      <c r="U2677" s="69"/>
      <c r="V2677" s="69"/>
      <c r="W2677" s="69"/>
    </row>
    <row r="2678" spans="7:23" x14ac:dyDescent="0.3">
      <c r="G2678" s="69"/>
      <c r="H2678" s="69"/>
      <c r="I2678" s="69"/>
      <c r="J2678" s="69"/>
      <c r="K2678" s="69"/>
      <c r="L2678" s="69"/>
      <c r="M2678" s="69"/>
      <c r="N2678" s="69"/>
      <c r="O2678" s="69"/>
      <c r="P2678" s="69"/>
      <c r="Q2678" s="69"/>
      <c r="R2678" s="69"/>
      <c r="S2678" s="69"/>
      <c r="T2678" s="69"/>
      <c r="U2678" s="69"/>
      <c r="V2678" s="69"/>
      <c r="W2678" s="69"/>
    </row>
    <row r="2679" spans="7:23" x14ac:dyDescent="0.3">
      <c r="G2679" s="69"/>
      <c r="H2679" s="69"/>
      <c r="I2679" s="69"/>
      <c r="J2679" s="69"/>
      <c r="K2679" s="69"/>
      <c r="L2679" s="69"/>
      <c r="M2679" s="69"/>
      <c r="N2679" s="69"/>
      <c r="O2679" s="69"/>
      <c r="P2679" s="69"/>
      <c r="Q2679" s="69"/>
      <c r="R2679" s="69"/>
      <c r="S2679" s="69"/>
      <c r="T2679" s="69"/>
      <c r="U2679" s="69"/>
      <c r="V2679" s="69"/>
      <c r="W2679" s="69"/>
    </row>
    <row r="2680" spans="7:23" x14ac:dyDescent="0.3">
      <c r="G2680" s="69"/>
      <c r="H2680" s="69"/>
      <c r="I2680" s="69"/>
      <c r="J2680" s="69"/>
      <c r="K2680" s="69"/>
      <c r="L2680" s="69"/>
      <c r="M2680" s="69"/>
      <c r="N2680" s="69"/>
      <c r="O2680" s="69"/>
      <c r="P2680" s="69"/>
      <c r="Q2680" s="69"/>
      <c r="R2680" s="69"/>
      <c r="S2680" s="69"/>
      <c r="T2680" s="69"/>
      <c r="U2680" s="69"/>
      <c r="V2680" s="69"/>
      <c r="W2680" s="69"/>
    </row>
    <row r="2681" spans="7:23" x14ac:dyDescent="0.3">
      <c r="G2681" s="69"/>
      <c r="H2681" s="69"/>
      <c r="I2681" s="69"/>
      <c r="J2681" s="69"/>
      <c r="K2681" s="69"/>
      <c r="L2681" s="69"/>
      <c r="M2681" s="69"/>
      <c r="N2681" s="69"/>
      <c r="O2681" s="69"/>
      <c r="P2681" s="69"/>
      <c r="Q2681" s="69"/>
      <c r="R2681" s="69"/>
      <c r="S2681" s="69"/>
      <c r="T2681" s="69"/>
      <c r="U2681" s="69"/>
      <c r="V2681" s="69"/>
      <c r="W2681" s="69"/>
    </row>
    <row r="2682" spans="7:23" x14ac:dyDescent="0.3">
      <c r="G2682" s="69"/>
      <c r="H2682" s="69"/>
      <c r="I2682" s="69"/>
      <c r="J2682" s="69"/>
      <c r="K2682" s="69"/>
      <c r="L2682" s="69"/>
      <c r="M2682" s="69"/>
      <c r="N2682" s="69"/>
      <c r="O2682" s="69"/>
      <c r="P2682" s="69"/>
      <c r="Q2682" s="69"/>
      <c r="R2682" s="69"/>
      <c r="S2682" s="69"/>
      <c r="T2682" s="69"/>
      <c r="U2682" s="69"/>
      <c r="V2682" s="69"/>
      <c r="W2682" s="69"/>
    </row>
    <row r="2683" spans="7:23" x14ac:dyDescent="0.3">
      <c r="G2683" s="69"/>
      <c r="H2683" s="69"/>
      <c r="I2683" s="69"/>
      <c r="J2683" s="69"/>
      <c r="K2683" s="69"/>
      <c r="L2683" s="69"/>
      <c r="M2683" s="69"/>
      <c r="N2683" s="69"/>
      <c r="O2683" s="69"/>
      <c r="P2683" s="69"/>
      <c r="Q2683" s="69"/>
      <c r="R2683" s="69"/>
      <c r="S2683" s="69"/>
      <c r="T2683" s="69"/>
      <c r="U2683" s="69"/>
      <c r="V2683" s="69"/>
      <c r="W2683" s="69"/>
    </row>
    <row r="2684" spans="7:23" x14ac:dyDescent="0.3">
      <c r="G2684" s="69"/>
      <c r="H2684" s="69"/>
      <c r="I2684" s="69"/>
      <c r="J2684" s="69"/>
      <c r="K2684" s="69"/>
      <c r="L2684" s="69"/>
      <c r="M2684" s="69"/>
      <c r="N2684" s="69"/>
      <c r="O2684" s="69"/>
      <c r="P2684" s="69"/>
      <c r="Q2684" s="69"/>
      <c r="R2684" s="69"/>
      <c r="S2684" s="69"/>
      <c r="T2684" s="69"/>
      <c r="U2684" s="69"/>
      <c r="V2684" s="69"/>
      <c r="W2684" s="69"/>
    </row>
    <row r="2685" spans="7:23" x14ac:dyDescent="0.3">
      <c r="G2685" s="69"/>
      <c r="H2685" s="69"/>
      <c r="I2685" s="69"/>
      <c r="J2685" s="69"/>
      <c r="K2685" s="69"/>
      <c r="L2685" s="69"/>
      <c r="M2685" s="69"/>
      <c r="N2685" s="69"/>
      <c r="O2685" s="69"/>
      <c r="P2685" s="69"/>
      <c r="Q2685" s="69"/>
      <c r="R2685" s="69"/>
      <c r="S2685" s="69"/>
      <c r="T2685" s="69"/>
      <c r="U2685" s="69"/>
      <c r="V2685" s="69"/>
      <c r="W2685" s="69"/>
    </row>
    <row r="2686" spans="7:23" x14ac:dyDescent="0.3">
      <c r="G2686" s="69"/>
      <c r="H2686" s="69"/>
      <c r="I2686" s="69"/>
      <c r="J2686" s="69"/>
      <c r="K2686" s="69"/>
      <c r="L2686" s="69"/>
      <c r="M2686" s="69"/>
      <c r="N2686" s="69"/>
      <c r="O2686" s="69"/>
      <c r="P2686" s="69"/>
      <c r="Q2686" s="69"/>
      <c r="R2686" s="69"/>
      <c r="S2686" s="69"/>
      <c r="T2686" s="69"/>
      <c r="U2686" s="69"/>
      <c r="V2686" s="69"/>
      <c r="W2686" s="69"/>
    </row>
    <row r="2687" spans="7:23" x14ac:dyDescent="0.3">
      <c r="G2687" s="69"/>
      <c r="H2687" s="69"/>
      <c r="I2687" s="69"/>
      <c r="J2687" s="69"/>
      <c r="K2687" s="69"/>
      <c r="L2687" s="69"/>
      <c r="M2687" s="69"/>
      <c r="N2687" s="69"/>
      <c r="O2687" s="69"/>
      <c r="P2687" s="69"/>
      <c r="Q2687" s="69"/>
      <c r="R2687" s="69"/>
      <c r="S2687" s="69"/>
      <c r="T2687" s="69"/>
      <c r="U2687" s="69"/>
      <c r="V2687" s="69"/>
      <c r="W2687" s="69"/>
    </row>
    <row r="2688" spans="7:23" x14ac:dyDescent="0.3">
      <c r="G2688" s="69"/>
      <c r="H2688" s="69"/>
      <c r="I2688" s="69"/>
      <c r="J2688" s="69"/>
      <c r="K2688" s="69"/>
      <c r="L2688" s="69"/>
      <c r="M2688" s="69"/>
      <c r="N2688" s="69"/>
      <c r="O2688" s="69"/>
      <c r="P2688" s="69"/>
      <c r="Q2688" s="69"/>
      <c r="R2688" s="69"/>
      <c r="S2688" s="69"/>
      <c r="T2688" s="69"/>
      <c r="U2688" s="69"/>
      <c r="V2688" s="69"/>
      <c r="W2688" s="69"/>
    </row>
    <row r="2689" spans="7:23" x14ac:dyDescent="0.3">
      <c r="G2689" s="69"/>
      <c r="H2689" s="69"/>
      <c r="I2689" s="69"/>
      <c r="J2689" s="69"/>
      <c r="K2689" s="69"/>
      <c r="L2689" s="69"/>
      <c r="M2689" s="69"/>
      <c r="N2689" s="69"/>
      <c r="O2689" s="69"/>
      <c r="P2689" s="69"/>
      <c r="Q2689" s="69"/>
      <c r="R2689" s="69"/>
      <c r="S2689" s="69"/>
      <c r="T2689" s="69"/>
      <c r="U2689" s="69"/>
      <c r="V2689" s="69"/>
      <c r="W2689" s="69"/>
    </row>
    <row r="2690" spans="7:23" x14ac:dyDescent="0.3">
      <c r="G2690" s="69"/>
      <c r="H2690" s="69"/>
      <c r="I2690" s="69"/>
      <c r="J2690" s="69"/>
      <c r="K2690" s="69"/>
      <c r="L2690" s="69"/>
      <c r="M2690" s="69"/>
      <c r="N2690" s="69"/>
      <c r="O2690" s="69"/>
      <c r="P2690" s="69"/>
      <c r="Q2690" s="69"/>
      <c r="R2690" s="69"/>
      <c r="S2690" s="69"/>
      <c r="T2690" s="69"/>
      <c r="U2690" s="69"/>
      <c r="V2690" s="69"/>
      <c r="W2690" s="69"/>
    </row>
    <row r="2691" spans="7:23" x14ac:dyDescent="0.3">
      <c r="G2691" s="69"/>
      <c r="H2691" s="69"/>
      <c r="I2691" s="69"/>
      <c r="J2691" s="69"/>
      <c r="K2691" s="69"/>
      <c r="L2691" s="69"/>
      <c r="M2691" s="69"/>
      <c r="N2691" s="69"/>
      <c r="O2691" s="69"/>
      <c r="P2691" s="69"/>
      <c r="Q2691" s="69"/>
      <c r="R2691" s="69"/>
      <c r="S2691" s="69"/>
      <c r="T2691" s="69"/>
      <c r="U2691" s="69"/>
      <c r="V2691" s="69"/>
      <c r="W2691" s="69"/>
    </row>
    <row r="2692" spans="7:23" x14ac:dyDescent="0.3">
      <c r="G2692" s="69"/>
      <c r="H2692" s="69"/>
      <c r="I2692" s="69"/>
      <c r="J2692" s="69"/>
      <c r="K2692" s="69"/>
      <c r="L2692" s="69"/>
      <c r="M2692" s="69"/>
      <c r="N2692" s="69"/>
      <c r="O2692" s="69"/>
      <c r="P2692" s="69"/>
      <c r="Q2692" s="69"/>
      <c r="R2692" s="69"/>
      <c r="S2692" s="69"/>
      <c r="T2692" s="69"/>
      <c r="U2692" s="69"/>
      <c r="V2692" s="69"/>
      <c r="W2692" s="69"/>
    </row>
    <row r="2693" spans="7:23" x14ac:dyDescent="0.3">
      <c r="G2693" s="69"/>
      <c r="H2693" s="69"/>
      <c r="I2693" s="69"/>
      <c r="J2693" s="69"/>
      <c r="K2693" s="69"/>
      <c r="L2693" s="69"/>
      <c r="M2693" s="69"/>
      <c r="N2693" s="69"/>
      <c r="O2693" s="69"/>
      <c r="P2693" s="69"/>
      <c r="Q2693" s="69"/>
      <c r="R2693" s="69"/>
      <c r="S2693" s="69"/>
      <c r="T2693" s="69"/>
      <c r="U2693" s="69"/>
      <c r="V2693" s="69"/>
      <c r="W2693" s="69"/>
    </row>
    <row r="2694" spans="7:23" x14ac:dyDescent="0.3">
      <c r="G2694" s="69"/>
      <c r="H2694" s="69"/>
      <c r="I2694" s="69"/>
      <c r="J2694" s="69"/>
      <c r="K2694" s="69"/>
      <c r="L2694" s="69"/>
      <c r="M2694" s="69"/>
      <c r="N2694" s="69"/>
      <c r="O2694" s="69"/>
      <c r="P2694" s="69"/>
      <c r="Q2694" s="69"/>
      <c r="R2694" s="69"/>
      <c r="S2694" s="69"/>
      <c r="T2694" s="69"/>
      <c r="U2694" s="69"/>
      <c r="V2694" s="69"/>
      <c r="W2694" s="69"/>
    </row>
    <row r="2695" spans="7:23" x14ac:dyDescent="0.3">
      <c r="G2695" s="69"/>
      <c r="H2695" s="69"/>
      <c r="I2695" s="69"/>
      <c r="J2695" s="69"/>
      <c r="K2695" s="69"/>
      <c r="L2695" s="69"/>
      <c r="M2695" s="69"/>
      <c r="N2695" s="69"/>
      <c r="O2695" s="69"/>
      <c r="P2695" s="69"/>
      <c r="Q2695" s="69"/>
      <c r="R2695" s="69"/>
      <c r="S2695" s="69"/>
      <c r="T2695" s="69"/>
      <c r="U2695" s="69"/>
      <c r="V2695" s="69"/>
      <c r="W2695" s="69"/>
    </row>
    <row r="2696" spans="7:23" x14ac:dyDescent="0.3">
      <c r="G2696" s="69"/>
      <c r="H2696" s="69"/>
      <c r="I2696" s="69"/>
      <c r="J2696" s="69"/>
      <c r="K2696" s="69"/>
      <c r="L2696" s="69"/>
      <c r="M2696" s="69"/>
      <c r="N2696" s="69"/>
      <c r="O2696" s="69"/>
      <c r="P2696" s="69"/>
      <c r="Q2696" s="69"/>
      <c r="R2696" s="69"/>
      <c r="S2696" s="69"/>
      <c r="T2696" s="69"/>
      <c r="U2696" s="69"/>
      <c r="V2696" s="69"/>
      <c r="W2696" s="69"/>
    </row>
    <row r="2697" spans="7:23" x14ac:dyDescent="0.3">
      <c r="G2697" s="69"/>
      <c r="H2697" s="69"/>
      <c r="I2697" s="69"/>
      <c r="J2697" s="69"/>
      <c r="K2697" s="69"/>
      <c r="L2697" s="69"/>
      <c r="M2697" s="69"/>
      <c r="N2697" s="69"/>
      <c r="O2697" s="69"/>
      <c r="P2697" s="69"/>
      <c r="Q2697" s="69"/>
      <c r="R2697" s="69"/>
      <c r="S2697" s="69"/>
      <c r="T2697" s="69"/>
      <c r="U2697" s="69"/>
      <c r="V2697" s="69"/>
      <c r="W2697" s="69"/>
    </row>
    <row r="2698" spans="7:23" x14ac:dyDescent="0.3">
      <c r="G2698" s="69"/>
      <c r="H2698" s="69"/>
      <c r="I2698" s="69"/>
      <c r="J2698" s="69"/>
      <c r="K2698" s="69"/>
      <c r="L2698" s="69"/>
      <c r="M2698" s="69"/>
      <c r="N2698" s="69"/>
      <c r="O2698" s="69"/>
      <c r="P2698" s="69"/>
      <c r="Q2698" s="69"/>
      <c r="R2698" s="69"/>
      <c r="S2698" s="69"/>
      <c r="T2698" s="69"/>
      <c r="U2698" s="69"/>
      <c r="V2698" s="69"/>
      <c r="W2698" s="69"/>
    </row>
    <row r="2699" spans="7:23" x14ac:dyDescent="0.3">
      <c r="G2699" s="69"/>
      <c r="H2699" s="69"/>
      <c r="I2699" s="69"/>
      <c r="J2699" s="69"/>
      <c r="K2699" s="69"/>
      <c r="L2699" s="69"/>
      <c r="M2699" s="69"/>
      <c r="N2699" s="69"/>
      <c r="O2699" s="69"/>
      <c r="P2699" s="69"/>
      <c r="Q2699" s="69"/>
      <c r="R2699" s="69"/>
      <c r="S2699" s="69"/>
      <c r="T2699" s="69"/>
      <c r="U2699" s="69"/>
      <c r="V2699" s="69"/>
      <c r="W2699" s="69"/>
    </row>
    <row r="2700" spans="7:23" x14ac:dyDescent="0.3">
      <c r="G2700" s="69"/>
      <c r="H2700" s="69"/>
      <c r="I2700" s="69"/>
      <c r="J2700" s="69"/>
      <c r="K2700" s="69"/>
      <c r="L2700" s="69"/>
      <c r="M2700" s="69"/>
      <c r="N2700" s="69"/>
      <c r="O2700" s="69"/>
      <c r="P2700" s="69"/>
      <c r="Q2700" s="69"/>
      <c r="R2700" s="69"/>
      <c r="S2700" s="69"/>
      <c r="T2700" s="69"/>
      <c r="U2700" s="69"/>
      <c r="V2700" s="69"/>
      <c r="W2700" s="69"/>
    </row>
    <row r="2701" spans="7:23" x14ac:dyDescent="0.3">
      <c r="G2701" s="69"/>
      <c r="H2701" s="69"/>
      <c r="I2701" s="69"/>
      <c r="J2701" s="69"/>
      <c r="K2701" s="69"/>
      <c r="L2701" s="69"/>
      <c r="M2701" s="69"/>
      <c r="N2701" s="69"/>
      <c r="O2701" s="69"/>
      <c r="P2701" s="69"/>
      <c r="Q2701" s="69"/>
      <c r="R2701" s="69"/>
      <c r="S2701" s="69"/>
      <c r="T2701" s="69"/>
      <c r="U2701" s="69"/>
      <c r="V2701" s="69"/>
      <c r="W2701" s="69"/>
    </row>
    <row r="2702" spans="7:23" x14ac:dyDescent="0.3">
      <c r="G2702" s="69"/>
      <c r="H2702" s="69"/>
      <c r="I2702" s="69"/>
      <c r="J2702" s="69"/>
      <c r="K2702" s="69"/>
      <c r="L2702" s="69"/>
      <c r="M2702" s="69"/>
      <c r="N2702" s="69"/>
      <c r="O2702" s="69"/>
      <c r="P2702" s="69"/>
      <c r="Q2702" s="69"/>
      <c r="R2702" s="69"/>
      <c r="S2702" s="69"/>
      <c r="T2702" s="69"/>
      <c r="U2702" s="69"/>
      <c r="V2702" s="69"/>
      <c r="W2702" s="69"/>
    </row>
    <row r="2703" spans="7:23" x14ac:dyDescent="0.3">
      <c r="G2703" s="69"/>
      <c r="H2703" s="69"/>
      <c r="I2703" s="69"/>
      <c r="J2703" s="69"/>
      <c r="K2703" s="69"/>
      <c r="L2703" s="69"/>
      <c r="M2703" s="69"/>
      <c r="N2703" s="69"/>
      <c r="O2703" s="69"/>
      <c r="P2703" s="69"/>
      <c r="Q2703" s="69"/>
      <c r="R2703" s="69"/>
      <c r="S2703" s="69"/>
      <c r="T2703" s="69"/>
      <c r="U2703" s="69"/>
      <c r="V2703" s="69"/>
      <c r="W2703" s="69"/>
    </row>
    <row r="2704" spans="7:23" x14ac:dyDescent="0.3">
      <c r="G2704" s="69"/>
      <c r="H2704" s="69"/>
      <c r="I2704" s="69"/>
      <c r="J2704" s="69"/>
      <c r="K2704" s="69"/>
      <c r="L2704" s="69"/>
      <c r="M2704" s="69"/>
      <c r="N2704" s="69"/>
      <c r="O2704" s="69"/>
      <c r="P2704" s="69"/>
      <c r="Q2704" s="69"/>
      <c r="R2704" s="69"/>
      <c r="S2704" s="69"/>
      <c r="T2704" s="69"/>
      <c r="U2704" s="69"/>
      <c r="V2704" s="69"/>
      <c r="W2704" s="69"/>
    </row>
    <row r="2705" spans="7:23" x14ac:dyDescent="0.3">
      <c r="G2705" s="69"/>
      <c r="H2705" s="69"/>
      <c r="I2705" s="69"/>
      <c r="J2705" s="69"/>
      <c r="K2705" s="69"/>
      <c r="L2705" s="69"/>
      <c r="M2705" s="69"/>
      <c r="N2705" s="69"/>
      <c r="O2705" s="69"/>
      <c r="P2705" s="69"/>
      <c r="Q2705" s="69"/>
      <c r="R2705" s="69"/>
      <c r="S2705" s="69"/>
      <c r="T2705" s="69"/>
      <c r="U2705" s="69"/>
      <c r="V2705" s="69"/>
      <c r="W2705" s="69"/>
    </row>
    <row r="2706" spans="7:23" x14ac:dyDescent="0.3">
      <c r="G2706" s="69"/>
      <c r="H2706" s="69"/>
      <c r="I2706" s="69"/>
      <c r="J2706" s="69"/>
      <c r="K2706" s="69"/>
      <c r="L2706" s="69"/>
      <c r="M2706" s="69"/>
      <c r="N2706" s="69"/>
      <c r="O2706" s="69"/>
      <c r="P2706" s="69"/>
      <c r="Q2706" s="69"/>
      <c r="R2706" s="69"/>
      <c r="S2706" s="69"/>
      <c r="T2706" s="69"/>
      <c r="U2706" s="69"/>
      <c r="V2706" s="69"/>
      <c r="W2706" s="69"/>
    </row>
    <row r="2707" spans="7:23" x14ac:dyDescent="0.3">
      <c r="G2707" s="69"/>
      <c r="H2707" s="69"/>
      <c r="I2707" s="69"/>
      <c r="J2707" s="69"/>
      <c r="K2707" s="69"/>
      <c r="L2707" s="69"/>
      <c r="M2707" s="69"/>
      <c r="N2707" s="69"/>
      <c r="O2707" s="69"/>
      <c r="P2707" s="69"/>
      <c r="Q2707" s="69"/>
      <c r="R2707" s="69"/>
      <c r="S2707" s="69"/>
      <c r="T2707" s="69"/>
      <c r="U2707" s="69"/>
      <c r="V2707" s="69"/>
      <c r="W2707" s="69"/>
    </row>
    <row r="2708" spans="7:23" x14ac:dyDescent="0.3">
      <c r="G2708" s="69"/>
      <c r="H2708" s="69"/>
      <c r="I2708" s="69"/>
      <c r="J2708" s="69"/>
      <c r="K2708" s="69"/>
      <c r="L2708" s="69"/>
      <c r="M2708" s="69"/>
      <c r="N2708" s="69"/>
      <c r="O2708" s="69"/>
      <c r="P2708" s="69"/>
      <c r="Q2708" s="69"/>
      <c r="R2708" s="69"/>
      <c r="S2708" s="69"/>
      <c r="T2708" s="69"/>
      <c r="U2708" s="69"/>
      <c r="V2708" s="69"/>
      <c r="W2708" s="69"/>
    </row>
    <row r="2709" spans="7:23" x14ac:dyDescent="0.3">
      <c r="G2709" s="69"/>
      <c r="H2709" s="69"/>
      <c r="I2709" s="69"/>
      <c r="J2709" s="69"/>
      <c r="K2709" s="69"/>
      <c r="L2709" s="69"/>
      <c r="M2709" s="69"/>
      <c r="N2709" s="69"/>
      <c r="O2709" s="69"/>
      <c r="P2709" s="69"/>
      <c r="Q2709" s="69"/>
      <c r="R2709" s="69"/>
      <c r="S2709" s="69"/>
      <c r="T2709" s="69"/>
      <c r="U2709" s="69"/>
      <c r="V2709" s="69"/>
      <c r="W2709" s="69"/>
    </row>
    <row r="2710" spans="7:23" x14ac:dyDescent="0.3">
      <c r="G2710" s="69"/>
      <c r="H2710" s="69"/>
      <c r="I2710" s="69"/>
      <c r="J2710" s="69"/>
      <c r="K2710" s="69"/>
      <c r="L2710" s="69"/>
      <c r="M2710" s="69"/>
      <c r="N2710" s="69"/>
      <c r="O2710" s="69"/>
      <c r="P2710" s="69"/>
      <c r="Q2710" s="69"/>
      <c r="R2710" s="69"/>
      <c r="S2710" s="69"/>
      <c r="T2710" s="69"/>
      <c r="U2710" s="69"/>
      <c r="V2710" s="69"/>
      <c r="W2710" s="69"/>
    </row>
    <row r="2711" spans="7:23" x14ac:dyDescent="0.3">
      <c r="G2711" s="69"/>
      <c r="H2711" s="69"/>
      <c r="I2711" s="69"/>
      <c r="J2711" s="69"/>
      <c r="K2711" s="69"/>
      <c r="L2711" s="69"/>
      <c r="M2711" s="69"/>
      <c r="N2711" s="69"/>
      <c r="O2711" s="69"/>
      <c r="P2711" s="69"/>
      <c r="Q2711" s="69"/>
      <c r="R2711" s="69"/>
      <c r="S2711" s="69"/>
      <c r="T2711" s="69"/>
      <c r="U2711" s="69"/>
      <c r="V2711" s="69"/>
      <c r="W2711" s="69"/>
    </row>
    <row r="2712" spans="7:23" x14ac:dyDescent="0.3">
      <c r="G2712" s="69"/>
      <c r="H2712" s="69"/>
      <c r="I2712" s="69"/>
      <c r="J2712" s="69"/>
      <c r="K2712" s="69"/>
      <c r="L2712" s="69"/>
      <c r="M2712" s="69"/>
      <c r="N2712" s="69"/>
      <c r="O2712" s="69"/>
      <c r="P2712" s="69"/>
      <c r="Q2712" s="69"/>
      <c r="R2712" s="69"/>
      <c r="S2712" s="69"/>
      <c r="T2712" s="69"/>
      <c r="U2712" s="69"/>
      <c r="V2712" s="69"/>
      <c r="W2712" s="69"/>
    </row>
    <row r="2713" spans="7:23" x14ac:dyDescent="0.3">
      <c r="G2713" s="69"/>
      <c r="H2713" s="69"/>
      <c r="I2713" s="69"/>
      <c r="J2713" s="69"/>
      <c r="K2713" s="69"/>
      <c r="L2713" s="69"/>
      <c r="M2713" s="69"/>
      <c r="N2713" s="69"/>
      <c r="O2713" s="69"/>
      <c r="P2713" s="69"/>
      <c r="Q2713" s="69"/>
      <c r="R2713" s="69"/>
      <c r="S2713" s="69"/>
      <c r="T2713" s="69"/>
      <c r="U2713" s="69"/>
      <c r="V2713" s="69"/>
      <c r="W2713" s="69"/>
    </row>
    <row r="2714" spans="7:23" x14ac:dyDescent="0.3">
      <c r="G2714" s="69"/>
      <c r="H2714" s="69"/>
      <c r="I2714" s="69"/>
      <c r="J2714" s="69"/>
      <c r="K2714" s="69"/>
      <c r="L2714" s="69"/>
      <c r="M2714" s="69"/>
      <c r="N2714" s="69"/>
      <c r="O2714" s="69"/>
      <c r="P2714" s="69"/>
      <c r="Q2714" s="69"/>
      <c r="R2714" s="69"/>
      <c r="S2714" s="69"/>
      <c r="T2714" s="69"/>
      <c r="U2714" s="69"/>
      <c r="V2714" s="69"/>
      <c r="W2714" s="69"/>
    </row>
    <row r="2715" spans="7:23" x14ac:dyDescent="0.3">
      <c r="G2715" s="69"/>
      <c r="H2715" s="69"/>
      <c r="I2715" s="69"/>
      <c r="J2715" s="69"/>
      <c r="K2715" s="69"/>
      <c r="L2715" s="69"/>
      <c r="M2715" s="69"/>
      <c r="N2715" s="69"/>
      <c r="O2715" s="69"/>
      <c r="P2715" s="69"/>
      <c r="Q2715" s="69"/>
      <c r="R2715" s="69"/>
      <c r="S2715" s="69"/>
      <c r="T2715" s="69"/>
      <c r="U2715" s="69"/>
      <c r="V2715" s="69"/>
      <c r="W2715" s="69"/>
    </row>
    <row r="2716" spans="7:23" x14ac:dyDescent="0.3">
      <c r="G2716" s="69"/>
      <c r="H2716" s="69"/>
      <c r="I2716" s="69"/>
      <c r="J2716" s="69"/>
      <c r="K2716" s="69"/>
      <c r="L2716" s="69"/>
      <c r="M2716" s="69"/>
      <c r="N2716" s="69"/>
      <c r="O2716" s="69"/>
      <c r="P2716" s="69"/>
      <c r="Q2716" s="69"/>
      <c r="R2716" s="69"/>
      <c r="S2716" s="69"/>
      <c r="T2716" s="69"/>
      <c r="U2716" s="69"/>
      <c r="V2716" s="69"/>
      <c r="W2716" s="69"/>
    </row>
    <row r="2717" spans="7:23" x14ac:dyDescent="0.3">
      <c r="G2717" s="69"/>
      <c r="H2717" s="69"/>
      <c r="I2717" s="69"/>
      <c r="J2717" s="69"/>
      <c r="K2717" s="69"/>
      <c r="L2717" s="69"/>
      <c r="M2717" s="69"/>
      <c r="N2717" s="69"/>
      <c r="O2717" s="69"/>
      <c r="P2717" s="69"/>
      <c r="Q2717" s="69"/>
      <c r="R2717" s="69"/>
      <c r="S2717" s="69"/>
      <c r="T2717" s="69"/>
      <c r="U2717" s="69"/>
      <c r="V2717" s="69"/>
      <c r="W2717" s="69"/>
    </row>
    <row r="2718" spans="7:23" x14ac:dyDescent="0.3">
      <c r="G2718" s="69"/>
      <c r="H2718" s="69"/>
      <c r="I2718" s="69"/>
      <c r="J2718" s="69"/>
      <c r="K2718" s="69"/>
      <c r="L2718" s="69"/>
      <c r="M2718" s="69"/>
      <c r="N2718" s="69"/>
      <c r="O2718" s="69"/>
      <c r="P2718" s="69"/>
      <c r="Q2718" s="69"/>
      <c r="R2718" s="69"/>
      <c r="S2718" s="69"/>
      <c r="T2718" s="69"/>
      <c r="U2718" s="69"/>
      <c r="V2718" s="69"/>
      <c r="W2718" s="69"/>
    </row>
    <row r="2719" spans="7:23" x14ac:dyDescent="0.3">
      <c r="G2719" s="69"/>
      <c r="H2719" s="69"/>
      <c r="I2719" s="69"/>
      <c r="J2719" s="69"/>
      <c r="K2719" s="69"/>
      <c r="L2719" s="69"/>
      <c r="M2719" s="69"/>
      <c r="N2719" s="69"/>
      <c r="O2719" s="69"/>
      <c r="P2719" s="69"/>
      <c r="Q2719" s="69"/>
      <c r="R2719" s="69"/>
      <c r="S2719" s="69"/>
      <c r="T2719" s="69"/>
      <c r="U2719" s="69"/>
      <c r="V2719" s="69"/>
      <c r="W2719" s="69"/>
    </row>
    <row r="2720" spans="7:23" x14ac:dyDescent="0.3">
      <c r="G2720" s="69"/>
      <c r="H2720" s="69"/>
      <c r="I2720" s="69"/>
      <c r="J2720" s="69"/>
      <c r="K2720" s="69"/>
      <c r="L2720" s="69"/>
      <c r="M2720" s="69"/>
      <c r="N2720" s="69"/>
      <c r="O2720" s="69"/>
      <c r="P2720" s="69"/>
      <c r="Q2720" s="69"/>
      <c r="R2720" s="69"/>
      <c r="S2720" s="69"/>
      <c r="T2720" s="69"/>
      <c r="U2720" s="69"/>
      <c r="V2720" s="69"/>
      <c r="W2720" s="69"/>
    </row>
    <row r="2721" spans="7:23" x14ac:dyDescent="0.3">
      <c r="G2721" s="69"/>
      <c r="H2721" s="69"/>
      <c r="I2721" s="69"/>
      <c r="J2721" s="69"/>
      <c r="K2721" s="69"/>
      <c r="L2721" s="69"/>
      <c r="M2721" s="69"/>
      <c r="N2721" s="69"/>
      <c r="O2721" s="69"/>
      <c r="P2721" s="69"/>
      <c r="Q2721" s="69"/>
      <c r="R2721" s="69"/>
      <c r="S2721" s="69"/>
      <c r="T2721" s="69"/>
      <c r="U2721" s="69"/>
      <c r="V2721" s="69"/>
      <c r="W2721" s="69"/>
    </row>
    <row r="2722" spans="7:23" x14ac:dyDescent="0.3">
      <c r="G2722" s="69"/>
      <c r="H2722" s="69"/>
      <c r="I2722" s="69"/>
      <c r="J2722" s="69"/>
      <c r="K2722" s="69"/>
      <c r="L2722" s="69"/>
      <c r="M2722" s="69"/>
      <c r="N2722" s="69"/>
      <c r="O2722" s="69"/>
      <c r="P2722" s="69"/>
      <c r="Q2722" s="69"/>
      <c r="R2722" s="69"/>
      <c r="S2722" s="69"/>
      <c r="T2722" s="69"/>
      <c r="U2722" s="69"/>
      <c r="V2722" s="69"/>
      <c r="W2722" s="69"/>
    </row>
    <row r="2723" spans="7:23" x14ac:dyDescent="0.3">
      <c r="G2723" s="69"/>
      <c r="H2723" s="69"/>
      <c r="I2723" s="69"/>
      <c r="J2723" s="69"/>
      <c r="K2723" s="69"/>
      <c r="L2723" s="69"/>
      <c r="M2723" s="69"/>
      <c r="N2723" s="69"/>
      <c r="O2723" s="69"/>
      <c r="P2723" s="69"/>
      <c r="Q2723" s="69"/>
      <c r="R2723" s="69"/>
      <c r="S2723" s="69"/>
      <c r="T2723" s="69"/>
      <c r="U2723" s="69"/>
      <c r="V2723" s="69"/>
      <c r="W2723" s="69"/>
    </row>
    <row r="2724" spans="7:23" x14ac:dyDescent="0.3">
      <c r="G2724" s="69"/>
      <c r="H2724" s="69"/>
      <c r="I2724" s="69"/>
      <c r="J2724" s="69"/>
      <c r="K2724" s="69"/>
      <c r="L2724" s="69"/>
      <c r="M2724" s="69"/>
      <c r="N2724" s="69"/>
      <c r="O2724" s="69"/>
      <c r="P2724" s="69"/>
      <c r="Q2724" s="69"/>
      <c r="R2724" s="69"/>
      <c r="S2724" s="69"/>
      <c r="T2724" s="69"/>
      <c r="U2724" s="69"/>
      <c r="V2724" s="69"/>
      <c r="W2724" s="69"/>
    </row>
    <row r="2725" spans="7:23" x14ac:dyDescent="0.3">
      <c r="G2725" s="69"/>
      <c r="H2725" s="69"/>
      <c r="I2725" s="69"/>
      <c r="J2725" s="69"/>
      <c r="K2725" s="69"/>
      <c r="L2725" s="69"/>
      <c r="M2725" s="69"/>
      <c r="N2725" s="69"/>
      <c r="O2725" s="69"/>
      <c r="P2725" s="69"/>
      <c r="Q2725" s="69"/>
      <c r="R2725" s="69"/>
      <c r="S2725" s="69"/>
      <c r="T2725" s="69"/>
      <c r="U2725" s="69"/>
      <c r="V2725" s="69"/>
      <c r="W2725" s="69"/>
    </row>
    <row r="2726" spans="7:23" x14ac:dyDescent="0.3">
      <c r="G2726" s="69"/>
      <c r="H2726" s="69"/>
      <c r="I2726" s="69"/>
      <c r="J2726" s="69"/>
      <c r="K2726" s="69"/>
      <c r="L2726" s="69"/>
      <c r="M2726" s="69"/>
      <c r="N2726" s="69"/>
      <c r="O2726" s="69"/>
      <c r="P2726" s="69"/>
      <c r="Q2726" s="69"/>
      <c r="R2726" s="69"/>
      <c r="S2726" s="69"/>
      <c r="T2726" s="69"/>
      <c r="U2726" s="69"/>
      <c r="V2726" s="69"/>
      <c r="W2726" s="69"/>
    </row>
    <row r="2727" spans="7:23" x14ac:dyDescent="0.3">
      <c r="G2727" s="69"/>
      <c r="H2727" s="69"/>
      <c r="I2727" s="69"/>
      <c r="J2727" s="69"/>
      <c r="K2727" s="69"/>
      <c r="L2727" s="69"/>
      <c r="M2727" s="69"/>
      <c r="N2727" s="69"/>
      <c r="O2727" s="69"/>
      <c r="P2727" s="69"/>
      <c r="Q2727" s="69"/>
      <c r="R2727" s="69"/>
      <c r="S2727" s="69"/>
      <c r="T2727" s="69"/>
      <c r="U2727" s="69"/>
      <c r="V2727" s="69"/>
      <c r="W2727" s="69"/>
    </row>
    <row r="2728" spans="7:23" x14ac:dyDescent="0.3">
      <c r="G2728" s="69"/>
      <c r="H2728" s="69"/>
      <c r="I2728" s="69"/>
      <c r="J2728" s="69"/>
      <c r="K2728" s="69"/>
      <c r="L2728" s="69"/>
      <c r="M2728" s="69"/>
      <c r="N2728" s="69"/>
      <c r="O2728" s="69"/>
      <c r="P2728" s="69"/>
      <c r="Q2728" s="69"/>
      <c r="R2728" s="69"/>
      <c r="S2728" s="69"/>
      <c r="T2728" s="69"/>
      <c r="U2728" s="69"/>
      <c r="V2728" s="69"/>
      <c r="W2728" s="69"/>
    </row>
    <row r="2729" spans="7:23" x14ac:dyDescent="0.3">
      <c r="G2729" s="69"/>
      <c r="H2729" s="69"/>
      <c r="I2729" s="69"/>
      <c r="J2729" s="69"/>
      <c r="K2729" s="69"/>
      <c r="L2729" s="69"/>
      <c r="M2729" s="69"/>
      <c r="N2729" s="69"/>
      <c r="O2729" s="69"/>
      <c r="P2729" s="69"/>
      <c r="Q2729" s="69"/>
      <c r="R2729" s="69"/>
      <c r="S2729" s="69"/>
      <c r="T2729" s="69"/>
      <c r="U2729" s="69"/>
      <c r="V2729" s="69"/>
      <c r="W2729" s="69"/>
    </row>
    <row r="2730" spans="7:23" x14ac:dyDescent="0.3">
      <c r="G2730" s="69"/>
      <c r="H2730" s="69"/>
      <c r="I2730" s="69"/>
      <c r="J2730" s="69"/>
      <c r="K2730" s="69"/>
      <c r="L2730" s="69"/>
      <c r="M2730" s="69"/>
      <c r="N2730" s="69"/>
      <c r="O2730" s="69"/>
      <c r="P2730" s="69"/>
      <c r="Q2730" s="69"/>
      <c r="R2730" s="69"/>
      <c r="S2730" s="69"/>
      <c r="T2730" s="69"/>
      <c r="U2730" s="69"/>
      <c r="V2730" s="69"/>
      <c r="W2730" s="69"/>
    </row>
    <row r="2731" spans="7:23" x14ac:dyDescent="0.3">
      <c r="G2731" s="69"/>
      <c r="H2731" s="69"/>
      <c r="I2731" s="69"/>
      <c r="J2731" s="69"/>
      <c r="K2731" s="69"/>
      <c r="L2731" s="69"/>
      <c r="M2731" s="69"/>
      <c r="N2731" s="69"/>
      <c r="O2731" s="69"/>
      <c r="P2731" s="69"/>
      <c r="Q2731" s="69"/>
      <c r="R2731" s="69"/>
      <c r="S2731" s="69"/>
      <c r="T2731" s="69"/>
      <c r="U2731" s="69"/>
      <c r="V2731" s="69"/>
      <c r="W2731" s="69"/>
    </row>
    <row r="2732" spans="7:23" x14ac:dyDescent="0.3">
      <c r="G2732" s="69"/>
      <c r="H2732" s="69"/>
      <c r="I2732" s="69"/>
      <c r="J2732" s="69"/>
      <c r="K2732" s="69"/>
      <c r="L2732" s="69"/>
      <c r="M2732" s="69"/>
      <c r="N2732" s="69"/>
      <c r="O2732" s="69"/>
      <c r="P2732" s="69"/>
      <c r="Q2732" s="69"/>
      <c r="R2732" s="69"/>
      <c r="S2732" s="69"/>
      <c r="T2732" s="69"/>
      <c r="U2732" s="69"/>
      <c r="V2732" s="69"/>
      <c r="W2732" s="69"/>
    </row>
    <row r="2733" spans="7:23" x14ac:dyDescent="0.3">
      <c r="G2733" s="69"/>
      <c r="H2733" s="69"/>
      <c r="I2733" s="69"/>
      <c r="J2733" s="69"/>
      <c r="K2733" s="69"/>
      <c r="L2733" s="69"/>
      <c r="M2733" s="69"/>
      <c r="N2733" s="69"/>
      <c r="O2733" s="69"/>
      <c r="P2733" s="69"/>
      <c r="Q2733" s="69"/>
      <c r="R2733" s="69"/>
      <c r="S2733" s="69"/>
      <c r="T2733" s="69"/>
      <c r="U2733" s="69"/>
      <c r="V2733" s="69"/>
      <c r="W2733" s="69"/>
    </row>
    <row r="2734" spans="7:23" x14ac:dyDescent="0.3">
      <c r="G2734" s="69"/>
      <c r="H2734" s="69"/>
      <c r="I2734" s="69"/>
      <c r="J2734" s="69"/>
      <c r="K2734" s="69"/>
      <c r="L2734" s="69"/>
      <c r="M2734" s="69"/>
      <c r="N2734" s="69"/>
      <c r="O2734" s="69"/>
      <c r="P2734" s="69"/>
      <c r="Q2734" s="69"/>
      <c r="R2734" s="69"/>
      <c r="S2734" s="69"/>
      <c r="T2734" s="69"/>
      <c r="U2734" s="69"/>
      <c r="V2734" s="69"/>
      <c r="W2734" s="69"/>
    </row>
    <row r="2735" spans="7:23" x14ac:dyDescent="0.3">
      <c r="G2735" s="69"/>
      <c r="H2735" s="69"/>
      <c r="I2735" s="69"/>
      <c r="J2735" s="69"/>
      <c r="K2735" s="69"/>
      <c r="L2735" s="69"/>
      <c r="M2735" s="69"/>
      <c r="N2735" s="69"/>
      <c r="O2735" s="69"/>
      <c r="P2735" s="69"/>
      <c r="Q2735" s="69"/>
      <c r="R2735" s="69"/>
      <c r="S2735" s="69"/>
      <c r="T2735" s="69"/>
      <c r="U2735" s="69"/>
      <c r="V2735" s="69"/>
      <c r="W2735" s="69"/>
    </row>
    <row r="2736" spans="7:23" x14ac:dyDescent="0.3">
      <c r="G2736" s="69"/>
      <c r="H2736" s="69"/>
      <c r="I2736" s="69"/>
      <c r="J2736" s="69"/>
      <c r="K2736" s="69"/>
      <c r="L2736" s="69"/>
      <c r="M2736" s="69"/>
      <c r="N2736" s="69"/>
      <c r="O2736" s="69"/>
      <c r="P2736" s="69"/>
      <c r="Q2736" s="69"/>
      <c r="R2736" s="69"/>
      <c r="S2736" s="69"/>
      <c r="T2736" s="69"/>
      <c r="U2736" s="69"/>
      <c r="V2736" s="69"/>
      <c r="W2736" s="69"/>
    </row>
    <row r="2737" spans="1:23" x14ac:dyDescent="0.3">
      <c r="G2737" s="69"/>
      <c r="H2737" s="69"/>
      <c r="I2737" s="69"/>
      <c r="J2737" s="69"/>
      <c r="K2737" s="69"/>
      <c r="L2737" s="69"/>
      <c r="M2737" s="69"/>
      <c r="N2737" s="69"/>
      <c r="O2737" s="69"/>
      <c r="P2737" s="69"/>
      <c r="Q2737" s="69"/>
      <c r="R2737" s="69"/>
      <c r="S2737" s="69"/>
      <c r="T2737" s="69"/>
      <c r="U2737" s="69"/>
      <c r="V2737" s="69"/>
      <c r="W2737" s="69"/>
    </row>
    <row r="2738" spans="1:23" x14ac:dyDescent="0.3">
      <c r="G2738" s="69"/>
      <c r="H2738" s="69"/>
      <c r="I2738" s="69"/>
      <c r="J2738" s="69"/>
      <c r="K2738" s="69"/>
      <c r="L2738" s="69"/>
      <c r="M2738" s="69"/>
      <c r="N2738" s="69"/>
      <c r="O2738" s="69"/>
      <c r="P2738" s="69"/>
      <c r="Q2738" s="69"/>
      <c r="R2738" s="69"/>
      <c r="S2738" s="69"/>
      <c r="T2738" s="69"/>
      <c r="U2738" s="69"/>
      <c r="V2738" s="69"/>
      <c r="W2738" s="69"/>
    </row>
    <row r="2739" spans="1:23" x14ac:dyDescent="0.3">
      <c r="G2739" s="69"/>
      <c r="H2739" s="69"/>
      <c r="I2739" s="69"/>
      <c r="J2739" s="69"/>
      <c r="K2739" s="69"/>
      <c r="L2739" s="69"/>
      <c r="M2739" s="69"/>
      <c r="N2739" s="69"/>
      <c r="O2739" s="69"/>
      <c r="P2739" s="69"/>
      <c r="Q2739" s="69"/>
      <c r="R2739" s="69"/>
      <c r="S2739" s="69"/>
      <c r="T2739" s="69"/>
      <c r="U2739" s="69"/>
      <c r="V2739" s="69"/>
      <c r="W2739" s="69"/>
    </row>
    <row r="2740" spans="1:23" ht="21" x14ac:dyDescent="0.4">
      <c r="A2740" s="48"/>
      <c r="G2740" s="69"/>
      <c r="H2740" s="69"/>
      <c r="I2740" s="69"/>
      <c r="J2740" s="69"/>
      <c r="K2740" s="69"/>
      <c r="L2740" s="69"/>
      <c r="M2740" s="69"/>
      <c r="N2740" s="69"/>
      <c r="O2740" s="69"/>
      <c r="P2740" s="69"/>
      <c r="Q2740" s="69"/>
      <c r="R2740" s="69"/>
      <c r="S2740" s="69"/>
      <c r="T2740" s="69"/>
      <c r="U2740" s="69"/>
      <c r="V2740" s="69"/>
      <c r="W2740" s="69"/>
    </row>
    <row r="2741" spans="1:23" x14ac:dyDescent="0.3">
      <c r="G2741" s="69"/>
      <c r="H2741" s="69"/>
      <c r="I2741" s="69"/>
      <c r="J2741" s="69"/>
      <c r="K2741" s="69"/>
      <c r="L2741" s="69"/>
      <c r="M2741" s="69"/>
      <c r="N2741" s="69"/>
      <c r="O2741" s="69"/>
      <c r="P2741" s="69"/>
      <c r="Q2741" s="69"/>
      <c r="R2741" s="69"/>
      <c r="S2741" s="69"/>
      <c r="T2741" s="69"/>
      <c r="U2741" s="69"/>
      <c r="V2741" s="69"/>
      <c r="W2741" s="69"/>
    </row>
    <row r="2742" spans="1:23" x14ac:dyDescent="0.3">
      <c r="G2742" s="69"/>
      <c r="H2742" s="69"/>
      <c r="I2742" s="69"/>
      <c r="J2742" s="69"/>
      <c r="K2742" s="69"/>
      <c r="L2742" s="69"/>
      <c r="M2742" s="69"/>
      <c r="N2742" s="69"/>
      <c r="O2742" s="69"/>
      <c r="P2742" s="69"/>
      <c r="Q2742" s="69"/>
      <c r="R2742" s="69"/>
      <c r="S2742" s="69"/>
      <c r="T2742" s="69"/>
      <c r="U2742" s="69"/>
      <c r="V2742" s="69"/>
      <c r="W2742" s="69"/>
    </row>
    <row r="2743" spans="1:23" x14ac:dyDescent="0.3">
      <c r="G2743" s="69"/>
      <c r="H2743" s="69"/>
      <c r="I2743" s="69"/>
      <c r="J2743" s="69"/>
      <c r="K2743" s="69"/>
      <c r="L2743" s="69"/>
      <c r="M2743" s="69"/>
      <c r="N2743" s="69"/>
      <c r="O2743" s="69"/>
      <c r="P2743" s="69"/>
      <c r="Q2743" s="69"/>
      <c r="R2743" s="69"/>
      <c r="S2743" s="69"/>
      <c r="T2743" s="69"/>
      <c r="U2743" s="69"/>
      <c r="V2743" s="69"/>
      <c r="W2743" s="69"/>
    </row>
    <row r="2744" spans="1:23" x14ac:dyDescent="0.3">
      <c r="G2744" s="69"/>
      <c r="H2744" s="69"/>
      <c r="I2744" s="69"/>
      <c r="J2744" s="69"/>
      <c r="K2744" s="69"/>
      <c r="L2744" s="69"/>
      <c r="M2744" s="69"/>
      <c r="N2744" s="69"/>
      <c r="O2744" s="69"/>
      <c r="P2744" s="69"/>
      <c r="Q2744" s="69"/>
      <c r="R2744" s="69"/>
      <c r="S2744" s="69"/>
      <c r="T2744" s="69"/>
      <c r="U2744" s="69"/>
      <c r="V2744" s="69"/>
      <c r="W2744" s="69"/>
    </row>
    <row r="2745" spans="1:23" x14ac:dyDescent="0.3">
      <c r="G2745" s="69"/>
      <c r="H2745" s="69"/>
      <c r="I2745" s="69"/>
      <c r="J2745" s="69"/>
      <c r="K2745" s="69"/>
      <c r="L2745" s="69"/>
      <c r="M2745" s="69"/>
      <c r="N2745" s="69"/>
      <c r="O2745" s="69"/>
      <c r="P2745" s="69"/>
      <c r="Q2745" s="69"/>
      <c r="R2745" s="69"/>
      <c r="S2745" s="69"/>
      <c r="T2745" s="69"/>
      <c r="U2745" s="69"/>
      <c r="V2745" s="69"/>
      <c r="W2745" s="69"/>
    </row>
    <row r="2746" spans="1:23" x14ac:dyDescent="0.3">
      <c r="G2746" s="69"/>
      <c r="H2746" s="69"/>
      <c r="I2746" s="69"/>
      <c r="J2746" s="69"/>
      <c r="K2746" s="69"/>
      <c r="L2746" s="69"/>
      <c r="M2746" s="69"/>
      <c r="N2746" s="69"/>
      <c r="O2746" s="69"/>
      <c r="P2746" s="69"/>
      <c r="Q2746" s="69"/>
      <c r="R2746" s="69"/>
      <c r="S2746" s="69"/>
      <c r="T2746" s="69"/>
      <c r="U2746" s="69"/>
      <c r="V2746" s="69"/>
      <c r="W2746" s="69"/>
    </row>
    <row r="2747" spans="1:23" x14ac:dyDescent="0.3">
      <c r="G2747" s="69"/>
      <c r="H2747" s="69"/>
      <c r="I2747" s="69"/>
      <c r="J2747" s="69"/>
      <c r="K2747" s="69"/>
      <c r="L2747" s="69"/>
      <c r="M2747" s="69"/>
      <c r="N2747" s="69"/>
      <c r="O2747" s="69"/>
      <c r="P2747" s="69"/>
      <c r="Q2747" s="69"/>
      <c r="R2747" s="69"/>
      <c r="S2747" s="69"/>
      <c r="T2747" s="69"/>
      <c r="U2747" s="69"/>
      <c r="V2747" s="69"/>
      <c r="W2747" s="69"/>
    </row>
    <row r="2748" spans="1:23" x14ac:dyDescent="0.3">
      <c r="G2748" s="69"/>
      <c r="H2748" s="69"/>
      <c r="I2748" s="69"/>
      <c r="J2748" s="69"/>
      <c r="K2748" s="69"/>
      <c r="L2748" s="69"/>
      <c r="M2748" s="69"/>
      <c r="N2748" s="69"/>
      <c r="O2748" s="69"/>
      <c r="P2748" s="69"/>
      <c r="Q2748" s="69"/>
      <c r="R2748" s="69"/>
      <c r="S2748" s="69"/>
      <c r="T2748" s="69"/>
      <c r="U2748" s="69"/>
      <c r="V2748" s="69"/>
      <c r="W2748" s="69"/>
    </row>
    <row r="2749" spans="1:23" x14ac:dyDescent="0.3">
      <c r="G2749" s="69"/>
      <c r="H2749" s="69"/>
      <c r="I2749" s="69"/>
      <c r="J2749" s="69"/>
      <c r="K2749" s="69"/>
      <c r="L2749" s="69"/>
      <c r="M2749" s="69"/>
      <c r="N2749" s="69"/>
      <c r="O2749" s="69"/>
      <c r="P2749" s="69"/>
      <c r="Q2749" s="69"/>
      <c r="R2749" s="69"/>
      <c r="S2749" s="69"/>
      <c r="T2749" s="69"/>
      <c r="U2749" s="69"/>
      <c r="V2749" s="69"/>
      <c r="W2749" s="69"/>
    </row>
    <row r="2750" spans="1:23" x14ac:dyDescent="0.3">
      <c r="G2750" s="69"/>
      <c r="H2750" s="69"/>
      <c r="I2750" s="69"/>
      <c r="J2750" s="69"/>
      <c r="K2750" s="69"/>
      <c r="L2750" s="69"/>
      <c r="M2750" s="69"/>
      <c r="N2750" s="69"/>
      <c r="O2750" s="69"/>
      <c r="P2750" s="69"/>
      <c r="Q2750" s="69"/>
      <c r="R2750" s="69"/>
      <c r="S2750" s="69"/>
      <c r="T2750" s="69"/>
      <c r="U2750" s="69"/>
      <c r="V2750" s="69"/>
      <c r="W2750" s="69"/>
    </row>
    <row r="2751" spans="1:23" x14ac:dyDescent="0.3">
      <c r="G2751" s="69"/>
      <c r="H2751" s="69"/>
      <c r="I2751" s="69"/>
      <c r="J2751" s="69"/>
      <c r="K2751" s="69"/>
      <c r="L2751" s="69"/>
      <c r="M2751" s="69"/>
      <c r="N2751" s="69"/>
      <c r="O2751" s="69"/>
      <c r="P2751" s="69"/>
      <c r="Q2751" s="69"/>
      <c r="R2751" s="69"/>
      <c r="S2751" s="69"/>
      <c r="T2751" s="69"/>
      <c r="U2751" s="69"/>
      <c r="V2751" s="69"/>
      <c r="W2751" s="69"/>
    </row>
    <row r="2752" spans="1:23" x14ac:dyDescent="0.3">
      <c r="G2752" s="69"/>
      <c r="H2752" s="69"/>
      <c r="I2752" s="69"/>
      <c r="J2752" s="69"/>
      <c r="K2752" s="69"/>
      <c r="L2752" s="69"/>
      <c r="M2752" s="69"/>
      <c r="N2752" s="69"/>
      <c r="O2752" s="69"/>
      <c r="P2752" s="69"/>
      <c r="Q2752" s="69"/>
      <c r="R2752" s="69"/>
      <c r="S2752" s="69"/>
      <c r="T2752" s="69"/>
      <c r="U2752" s="69"/>
      <c r="V2752" s="69"/>
      <c r="W2752" s="69"/>
    </row>
    <row r="2753" spans="7:23" x14ac:dyDescent="0.3">
      <c r="G2753" s="69"/>
      <c r="H2753" s="69"/>
      <c r="I2753" s="69"/>
      <c r="J2753" s="69"/>
      <c r="K2753" s="69"/>
      <c r="L2753" s="69"/>
      <c r="M2753" s="69"/>
      <c r="N2753" s="69"/>
      <c r="O2753" s="69"/>
      <c r="P2753" s="69"/>
      <c r="Q2753" s="69"/>
      <c r="R2753" s="69"/>
      <c r="S2753" s="69"/>
      <c r="T2753" s="69"/>
      <c r="U2753" s="69"/>
      <c r="V2753" s="69"/>
      <c r="W2753" s="69"/>
    </row>
    <row r="2754" spans="7:23" x14ac:dyDescent="0.3">
      <c r="G2754" s="69"/>
      <c r="H2754" s="69"/>
      <c r="I2754" s="69"/>
      <c r="J2754" s="69"/>
      <c r="K2754" s="69"/>
      <c r="L2754" s="69"/>
      <c r="M2754" s="69"/>
      <c r="N2754" s="69"/>
      <c r="O2754" s="69"/>
      <c r="P2754" s="69"/>
      <c r="Q2754" s="69"/>
      <c r="R2754" s="69"/>
      <c r="S2754" s="69"/>
      <c r="T2754" s="69"/>
      <c r="U2754" s="69"/>
      <c r="V2754" s="69"/>
      <c r="W2754" s="69"/>
    </row>
    <row r="2755" spans="7:23" x14ac:dyDescent="0.3">
      <c r="G2755" s="69"/>
      <c r="H2755" s="69"/>
      <c r="I2755" s="69"/>
      <c r="J2755" s="69"/>
      <c r="K2755" s="69"/>
      <c r="L2755" s="69"/>
      <c r="M2755" s="69"/>
      <c r="N2755" s="69"/>
      <c r="O2755" s="69"/>
      <c r="P2755" s="69"/>
      <c r="Q2755" s="69"/>
      <c r="R2755" s="69"/>
      <c r="S2755" s="69"/>
      <c r="T2755" s="69"/>
      <c r="U2755" s="69"/>
      <c r="V2755" s="69"/>
      <c r="W2755" s="69"/>
    </row>
    <row r="2756" spans="7:23" x14ac:dyDescent="0.3">
      <c r="G2756" s="69"/>
      <c r="H2756" s="69"/>
      <c r="I2756" s="69"/>
      <c r="J2756" s="69"/>
      <c r="K2756" s="69"/>
      <c r="L2756" s="69"/>
      <c r="M2756" s="69"/>
      <c r="N2756" s="69"/>
      <c r="O2756" s="69"/>
      <c r="P2756" s="69"/>
      <c r="Q2756" s="69"/>
      <c r="R2756" s="69"/>
      <c r="S2756" s="69"/>
      <c r="T2756" s="69"/>
      <c r="U2756" s="69"/>
      <c r="V2756" s="69"/>
      <c r="W2756" s="69"/>
    </row>
    <row r="2757" spans="7:23" x14ac:dyDescent="0.3">
      <c r="G2757" s="69"/>
      <c r="H2757" s="69"/>
      <c r="I2757" s="69"/>
      <c r="J2757" s="69"/>
      <c r="K2757" s="69"/>
      <c r="L2757" s="69"/>
      <c r="M2757" s="69"/>
      <c r="N2757" s="69"/>
      <c r="O2757" s="69"/>
      <c r="P2757" s="69"/>
      <c r="Q2757" s="69"/>
      <c r="R2757" s="69"/>
      <c r="S2757" s="69"/>
      <c r="T2757" s="69"/>
      <c r="U2757" s="69"/>
      <c r="V2757" s="69"/>
      <c r="W2757" s="69"/>
    </row>
    <row r="2758" spans="7:23" x14ac:dyDescent="0.3">
      <c r="G2758" s="69"/>
      <c r="H2758" s="69"/>
      <c r="I2758" s="69"/>
      <c r="J2758" s="69"/>
      <c r="K2758" s="69"/>
      <c r="L2758" s="69"/>
      <c r="M2758" s="69"/>
      <c r="N2758" s="69"/>
      <c r="O2758" s="69"/>
      <c r="P2758" s="69"/>
      <c r="Q2758" s="69"/>
      <c r="R2758" s="69"/>
      <c r="S2758" s="69"/>
      <c r="T2758" s="69"/>
      <c r="U2758" s="69"/>
      <c r="V2758" s="69"/>
      <c r="W2758" s="69"/>
    </row>
    <row r="2759" spans="7:23" x14ac:dyDescent="0.3">
      <c r="G2759" s="69"/>
      <c r="H2759" s="69"/>
      <c r="I2759" s="69"/>
      <c r="J2759" s="69"/>
      <c r="K2759" s="69"/>
      <c r="L2759" s="69"/>
      <c r="M2759" s="69"/>
      <c r="N2759" s="69"/>
      <c r="O2759" s="69"/>
      <c r="P2759" s="69"/>
      <c r="Q2759" s="69"/>
      <c r="R2759" s="69"/>
      <c r="S2759" s="69"/>
      <c r="T2759" s="69"/>
      <c r="U2759" s="69"/>
      <c r="V2759" s="69"/>
      <c r="W2759" s="69"/>
    </row>
    <row r="2760" spans="7:23" x14ac:dyDescent="0.3">
      <c r="G2760" s="69"/>
      <c r="H2760" s="69"/>
      <c r="I2760" s="69"/>
      <c r="J2760" s="69"/>
      <c r="K2760" s="69"/>
      <c r="L2760" s="69"/>
      <c r="M2760" s="69"/>
      <c r="N2760" s="69"/>
      <c r="O2760" s="69"/>
      <c r="P2760" s="69"/>
      <c r="Q2760" s="69"/>
      <c r="R2760" s="69"/>
      <c r="S2760" s="69"/>
      <c r="T2760" s="69"/>
      <c r="U2760" s="69"/>
      <c r="V2760" s="69"/>
      <c r="W2760" s="69"/>
    </row>
    <row r="2761" spans="7:23" x14ac:dyDescent="0.3">
      <c r="G2761" s="69"/>
      <c r="H2761" s="69"/>
      <c r="I2761" s="69"/>
      <c r="J2761" s="69"/>
      <c r="K2761" s="69"/>
      <c r="L2761" s="69"/>
      <c r="M2761" s="69"/>
      <c r="N2761" s="69"/>
      <c r="O2761" s="69"/>
      <c r="P2761" s="69"/>
      <c r="Q2761" s="69"/>
      <c r="R2761" s="69"/>
      <c r="S2761" s="69"/>
      <c r="T2761" s="69"/>
      <c r="U2761" s="69"/>
      <c r="V2761" s="69"/>
      <c r="W2761" s="69"/>
    </row>
    <row r="2762" spans="7:23" x14ac:dyDescent="0.3">
      <c r="G2762" s="69"/>
      <c r="H2762" s="69"/>
      <c r="I2762" s="69"/>
      <c r="J2762" s="69"/>
      <c r="K2762" s="69"/>
      <c r="L2762" s="69"/>
      <c r="M2762" s="69"/>
      <c r="N2762" s="69"/>
      <c r="O2762" s="69"/>
      <c r="P2762" s="69"/>
      <c r="Q2762" s="69"/>
      <c r="R2762" s="69"/>
      <c r="S2762" s="69"/>
      <c r="T2762" s="69"/>
      <c r="U2762" s="69"/>
      <c r="V2762" s="69"/>
      <c r="W2762" s="69"/>
    </row>
    <row r="2763" spans="7:23" x14ac:dyDescent="0.3">
      <c r="G2763" s="69"/>
      <c r="H2763" s="69"/>
      <c r="I2763" s="69"/>
      <c r="J2763" s="69"/>
      <c r="K2763" s="69"/>
      <c r="L2763" s="69"/>
      <c r="M2763" s="69"/>
      <c r="N2763" s="69"/>
      <c r="O2763" s="69"/>
      <c r="P2763" s="69"/>
      <c r="Q2763" s="69"/>
      <c r="R2763" s="69"/>
      <c r="S2763" s="69"/>
      <c r="T2763" s="69"/>
      <c r="U2763" s="69"/>
      <c r="V2763" s="69"/>
      <c r="W2763" s="69"/>
    </row>
    <row r="2764" spans="7:23" x14ac:dyDescent="0.3">
      <c r="G2764" s="69"/>
      <c r="H2764" s="69"/>
      <c r="I2764" s="69"/>
      <c r="J2764" s="69"/>
      <c r="K2764" s="69"/>
      <c r="L2764" s="69"/>
      <c r="M2764" s="69"/>
      <c r="N2764" s="69"/>
      <c r="O2764" s="69"/>
      <c r="P2764" s="69"/>
      <c r="Q2764" s="69"/>
      <c r="R2764" s="69"/>
      <c r="S2764" s="69"/>
      <c r="T2764" s="69"/>
      <c r="U2764" s="69"/>
      <c r="V2764" s="69"/>
      <c r="W2764" s="69"/>
    </row>
    <row r="2765" spans="7:23" x14ac:dyDescent="0.3">
      <c r="G2765" s="69"/>
      <c r="H2765" s="69"/>
      <c r="I2765" s="69"/>
      <c r="J2765" s="69"/>
      <c r="K2765" s="69"/>
      <c r="L2765" s="69"/>
      <c r="M2765" s="69"/>
      <c r="N2765" s="69"/>
      <c r="O2765" s="69"/>
      <c r="P2765" s="69"/>
      <c r="Q2765" s="69"/>
      <c r="R2765" s="69"/>
      <c r="S2765" s="69"/>
      <c r="T2765" s="69"/>
      <c r="U2765" s="69"/>
      <c r="V2765" s="69"/>
      <c r="W2765" s="69"/>
    </row>
    <row r="2766" spans="7:23" x14ac:dyDescent="0.3">
      <c r="G2766" s="69"/>
      <c r="H2766" s="69"/>
      <c r="I2766" s="69"/>
      <c r="J2766" s="69"/>
      <c r="K2766" s="69"/>
      <c r="L2766" s="69"/>
      <c r="M2766" s="69"/>
      <c r="N2766" s="69"/>
      <c r="O2766" s="69"/>
      <c r="P2766" s="69"/>
      <c r="Q2766" s="69"/>
      <c r="R2766" s="69"/>
      <c r="S2766" s="69"/>
      <c r="T2766" s="69"/>
      <c r="U2766" s="69"/>
      <c r="V2766" s="69"/>
      <c r="W2766" s="69"/>
    </row>
    <row r="2767" spans="7:23" x14ac:dyDescent="0.3">
      <c r="G2767" s="69"/>
      <c r="H2767" s="69"/>
      <c r="I2767" s="69"/>
      <c r="J2767" s="69"/>
      <c r="K2767" s="69"/>
      <c r="L2767" s="69"/>
      <c r="M2767" s="69"/>
      <c r="N2767" s="69"/>
      <c r="O2767" s="69"/>
      <c r="P2767" s="69"/>
      <c r="Q2767" s="69"/>
      <c r="R2767" s="69"/>
      <c r="S2767" s="69"/>
      <c r="T2767" s="69"/>
      <c r="U2767" s="69"/>
      <c r="V2767" s="69"/>
      <c r="W2767" s="69"/>
    </row>
    <row r="2768" spans="7:23" x14ac:dyDescent="0.3">
      <c r="G2768" s="69"/>
      <c r="H2768" s="69"/>
      <c r="I2768" s="69"/>
      <c r="J2768" s="69"/>
      <c r="K2768" s="69"/>
      <c r="L2768" s="69"/>
      <c r="M2768" s="69"/>
      <c r="N2768" s="69"/>
      <c r="O2768" s="69"/>
      <c r="P2768" s="69"/>
      <c r="Q2768" s="69"/>
      <c r="R2768" s="69"/>
      <c r="S2768" s="69"/>
      <c r="T2768" s="69"/>
      <c r="U2768" s="69"/>
      <c r="V2768" s="69"/>
      <c r="W2768" s="69"/>
    </row>
    <row r="2769" spans="7:23" x14ac:dyDescent="0.3">
      <c r="G2769" s="69"/>
      <c r="H2769" s="69"/>
      <c r="I2769" s="69"/>
      <c r="J2769" s="69"/>
      <c r="K2769" s="69"/>
      <c r="L2769" s="69"/>
      <c r="M2769" s="69"/>
      <c r="N2769" s="69"/>
      <c r="O2769" s="69"/>
      <c r="P2769" s="69"/>
      <c r="Q2769" s="69"/>
      <c r="R2769" s="69"/>
      <c r="S2769" s="69"/>
      <c r="T2769" s="69"/>
      <c r="U2769" s="69"/>
      <c r="V2769" s="69"/>
      <c r="W2769" s="69"/>
    </row>
    <row r="2770" spans="7:23" x14ac:dyDescent="0.3">
      <c r="G2770" s="69"/>
      <c r="H2770" s="69"/>
      <c r="I2770" s="69"/>
      <c r="J2770" s="69"/>
      <c r="K2770" s="69"/>
      <c r="L2770" s="69"/>
      <c r="M2770" s="69"/>
      <c r="N2770" s="69"/>
      <c r="O2770" s="69"/>
      <c r="P2770" s="69"/>
      <c r="Q2770" s="69"/>
      <c r="R2770" s="69"/>
      <c r="S2770" s="69"/>
      <c r="T2770" s="69"/>
      <c r="U2770" s="69"/>
      <c r="V2770" s="69"/>
      <c r="W2770" s="69"/>
    </row>
    <row r="2771" spans="7:23" x14ac:dyDescent="0.3">
      <c r="G2771" s="69"/>
      <c r="H2771" s="69"/>
      <c r="I2771" s="69"/>
      <c r="J2771" s="69"/>
      <c r="K2771" s="69"/>
      <c r="L2771" s="69"/>
      <c r="M2771" s="69"/>
      <c r="N2771" s="69"/>
      <c r="O2771" s="69"/>
      <c r="P2771" s="69"/>
      <c r="Q2771" s="69"/>
      <c r="R2771" s="69"/>
      <c r="S2771" s="69"/>
      <c r="T2771" s="69"/>
      <c r="U2771" s="69"/>
      <c r="V2771" s="69"/>
      <c r="W2771" s="69"/>
    </row>
    <row r="2772" spans="7:23" x14ac:dyDescent="0.3">
      <c r="G2772" s="69"/>
      <c r="H2772" s="69"/>
      <c r="I2772" s="69"/>
      <c r="J2772" s="69"/>
      <c r="K2772" s="69"/>
      <c r="L2772" s="69"/>
      <c r="M2772" s="69"/>
      <c r="N2772" s="69"/>
      <c r="O2772" s="69"/>
      <c r="P2772" s="69"/>
      <c r="Q2772" s="69"/>
      <c r="R2772" s="69"/>
      <c r="S2772" s="69"/>
      <c r="T2772" s="69"/>
      <c r="U2772" s="69"/>
      <c r="V2772" s="69"/>
      <c r="W2772" s="69"/>
    </row>
    <row r="2773" spans="7:23" x14ac:dyDescent="0.3">
      <c r="G2773" s="69"/>
      <c r="H2773" s="69"/>
      <c r="I2773" s="69"/>
      <c r="J2773" s="69"/>
      <c r="K2773" s="69"/>
      <c r="L2773" s="69"/>
      <c r="M2773" s="69"/>
      <c r="N2773" s="69"/>
      <c r="O2773" s="69"/>
      <c r="P2773" s="69"/>
      <c r="Q2773" s="69"/>
      <c r="R2773" s="69"/>
      <c r="S2773" s="69"/>
      <c r="T2773" s="69"/>
      <c r="U2773" s="69"/>
      <c r="V2773" s="69"/>
      <c r="W2773" s="69"/>
    </row>
    <row r="2774" spans="7:23" x14ac:dyDescent="0.3">
      <c r="G2774" s="69"/>
      <c r="H2774" s="69"/>
      <c r="I2774" s="69"/>
      <c r="J2774" s="69"/>
      <c r="K2774" s="69"/>
      <c r="L2774" s="69"/>
      <c r="M2774" s="69"/>
      <c r="N2774" s="69"/>
      <c r="O2774" s="69"/>
      <c r="P2774" s="69"/>
      <c r="Q2774" s="69"/>
      <c r="R2774" s="69"/>
      <c r="S2774" s="69"/>
      <c r="T2774" s="69"/>
      <c r="U2774" s="69"/>
      <c r="V2774" s="69"/>
      <c r="W2774" s="69"/>
    </row>
    <row r="2775" spans="7:23" x14ac:dyDescent="0.3">
      <c r="G2775" s="69"/>
      <c r="H2775" s="69"/>
      <c r="I2775" s="69"/>
      <c r="J2775" s="69"/>
      <c r="K2775" s="69"/>
      <c r="L2775" s="69"/>
      <c r="M2775" s="69"/>
      <c r="N2775" s="69"/>
      <c r="O2775" s="69"/>
      <c r="P2775" s="69"/>
      <c r="Q2775" s="69"/>
      <c r="R2775" s="69"/>
      <c r="S2775" s="69"/>
      <c r="T2775" s="69"/>
      <c r="U2775" s="69"/>
      <c r="V2775" s="69"/>
      <c r="W2775" s="69"/>
    </row>
    <row r="2776" spans="7:23" x14ac:dyDescent="0.3">
      <c r="G2776" s="69"/>
      <c r="H2776" s="69"/>
      <c r="I2776" s="69"/>
      <c r="J2776" s="69"/>
      <c r="K2776" s="69"/>
      <c r="L2776" s="69"/>
      <c r="M2776" s="69"/>
      <c r="N2776" s="69"/>
      <c r="O2776" s="69"/>
      <c r="P2776" s="69"/>
      <c r="Q2776" s="69"/>
      <c r="R2776" s="69"/>
      <c r="S2776" s="69"/>
      <c r="T2776" s="69"/>
      <c r="U2776" s="69"/>
      <c r="V2776" s="69"/>
      <c r="W2776" s="69"/>
    </row>
    <row r="2777" spans="7:23" x14ac:dyDescent="0.3">
      <c r="G2777" s="69"/>
      <c r="H2777" s="69"/>
      <c r="I2777" s="69"/>
      <c r="J2777" s="69"/>
      <c r="K2777" s="69"/>
      <c r="L2777" s="69"/>
      <c r="M2777" s="69"/>
      <c r="N2777" s="69"/>
      <c r="O2777" s="69"/>
      <c r="P2777" s="69"/>
      <c r="Q2777" s="69"/>
      <c r="R2777" s="69"/>
      <c r="S2777" s="69"/>
      <c r="T2777" s="69"/>
      <c r="U2777" s="69"/>
      <c r="V2777" s="69"/>
      <c r="W2777" s="69"/>
    </row>
    <row r="2778" spans="7:23" x14ac:dyDescent="0.3">
      <c r="G2778" s="69"/>
      <c r="H2778" s="69"/>
      <c r="I2778" s="69"/>
      <c r="J2778" s="69"/>
      <c r="K2778" s="69"/>
      <c r="L2778" s="69"/>
      <c r="M2778" s="69"/>
      <c r="N2778" s="69"/>
      <c r="O2778" s="69"/>
      <c r="P2778" s="69"/>
      <c r="Q2778" s="69"/>
      <c r="R2778" s="69"/>
      <c r="S2778" s="69"/>
      <c r="T2778" s="69"/>
      <c r="U2778" s="69"/>
      <c r="V2778" s="69"/>
      <c r="W2778" s="69"/>
    </row>
    <row r="2779" spans="7:23" x14ac:dyDescent="0.3">
      <c r="G2779" s="69"/>
      <c r="H2779" s="69"/>
      <c r="I2779" s="69"/>
      <c r="J2779" s="69"/>
      <c r="K2779" s="69"/>
      <c r="L2779" s="69"/>
      <c r="M2779" s="69"/>
      <c r="N2779" s="69"/>
      <c r="O2779" s="69"/>
      <c r="P2779" s="69"/>
      <c r="Q2779" s="69"/>
      <c r="R2779" s="69"/>
      <c r="S2779" s="69"/>
      <c r="T2779" s="69"/>
      <c r="U2779" s="69"/>
      <c r="V2779" s="69"/>
      <c r="W2779" s="69"/>
    </row>
    <row r="2780" spans="7:23" x14ac:dyDescent="0.3">
      <c r="G2780" s="69"/>
      <c r="H2780" s="69"/>
      <c r="I2780" s="69"/>
      <c r="J2780" s="69"/>
      <c r="K2780" s="69"/>
      <c r="L2780" s="69"/>
      <c r="M2780" s="69"/>
      <c r="N2780" s="69"/>
      <c r="O2780" s="69"/>
      <c r="P2780" s="69"/>
      <c r="Q2780" s="69"/>
      <c r="R2780" s="69"/>
      <c r="S2780" s="69"/>
      <c r="T2780" s="69"/>
      <c r="U2780" s="69"/>
      <c r="V2780" s="69"/>
      <c r="W2780" s="69"/>
    </row>
    <row r="2781" spans="7:23" x14ac:dyDescent="0.3">
      <c r="G2781" s="69"/>
      <c r="H2781" s="69"/>
      <c r="I2781" s="69"/>
      <c r="J2781" s="69"/>
      <c r="K2781" s="69"/>
      <c r="L2781" s="69"/>
      <c r="M2781" s="69"/>
      <c r="N2781" s="69"/>
      <c r="O2781" s="69"/>
      <c r="P2781" s="69"/>
      <c r="Q2781" s="69"/>
      <c r="R2781" s="69"/>
      <c r="S2781" s="69"/>
      <c r="T2781" s="69"/>
      <c r="U2781" s="69"/>
      <c r="V2781" s="69"/>
      <c r="W2781" s="69"/>
    </row>
    <row r="2782" spans="7:23" x14ac:dyDescent="0.3">
      <c r="G2782" s="69"/>
      <c r="H2782" s="69"/>
      <c r="I2782" s="69"/>
      <c r="J2782" s="69"/>
      <c r="K2782" s="69"/>
      <c r="L2782" s="69"/>
      <c r="M2782" s="69"/>
      <c r="N2782" s="69"/>
      <c r="O2782" s="69"/>
      <c r="P2782" s="69"/>
      <c r="Q2782" s="69"/>
      <c r="R2782" s="69"/>
      <c r="S2782" s="69"/>
      <c r="T2782" s="69"/>
      <c r="U2782" s="69"/>
      <c r="V2782" s="69"/>
      <c r="W2782" s="69"/>
    </row>
    <row r="2783" spans="7:23" x14ac:dyDescent="0.3">
      <c r="G2783" s="69"/>
      <c r="H2783" s="69"/>
      <c r="I2783" s="69"/>
      <c r="J2783" s="69"/>
      <c r="K2783" s="69"/>
      <c r="L2783" s="69"/>
      <c r="M2783" s="69"/>
      <c r="N2783" s="69"/>
      <c r="O2783" s="69"/>
      <c r="P2783" s="69"/>
      <c r="Q2783" s="69"/>
      <c r="R2783" s="69"/>
      <c r="S2783" s="69"/>
      <c r="T2783" s="69"/>
      <c r="U2783" s="69"/>
      <c r="V2783" s="69"/>
      <c r="W2783" s="69"/>
    </row>
    <row r="2784" spans="7:23" x14ac:dyDescent="0.3">
      <c r="G2784" s="69"/>
      <c r="H2784" s="69"/>
      <c r="I2784" s="69"/>
      <c r="J2784" s="69"/>
      <c r="K2784" s="69"/>
      <c r="L2784" s="69"/>
      <c r="M2784" s="69"/>
      <c r="N2784" s="69"/>
      <c r="O2784" s="69"/>
      <c r="P2784" s="69"/>
      <c r="Q2784" s="69"/>
      <c r="R2784" s="69"/>
      <c r="S2784" s="69"/>
      <c r="T2784" s="69"/>
      <c r="U2784" s="69"/>
      <c r="V2784" s="69"/>
      <c r="W2784" s="69"/>
    </row>
    <row r="2785" spans="7:23" x14ac:dyDescent="0.3">
      <c r="G2785" s="69"/>
      <c r="H2785" s="69"/>
      <c r="I2785" s="69"/>
      <c r="J2785" s="69"/>
      <c r="K2785" s="69"/>
      <c r="L2785" s="69"/>
      <c r="M2785" s="69"/>
      <c r="N2785" s="69"/>
      <c r="O2785" s="69"/>
      <c r="P2785" s="69"/>
      <c r="Q2785" s="69"/>
      <c r="R2785" s="69"/>
      <c r="S2785" s="69"/>
      <c r="T2785" s="69"/>
      <c r="U2785" s="69"/>
      <c r="V2785" s="69"/>
      <c r="W2785" s="69"/>
    </row>
    <row r="2786" spans="7:23" x14ac:dyDescent="0.3">
      <c r="G2786" s="69"/>
      <c r="H2786" s="69"/>
      <c r="I2786" s="69"/>
      <c r="J2786" s="69"/>
      <c r="K2786" s="69"/>
      <c r="L2786" s="69"/>
      <c r="M2786" s="69"/>
      <c r="N2786" s="69"/>
      <c r="O2786" s="69"/>
      <c r="P2786" s="69"/>
      <c r="Q2786" s="69"/>
      <c r="R2786" s="69"/>
      <c r="S2786" s="69"/>
      <c r="T2786" s="69"/>
      <c r="U2786" s="69"/>
      <c r="V2786" s="69"/>
      <c r="W2786" s="69"/>
    </row>
    <row r="2787" spans="7:23" x14ac:dyDescent="0.3">
      <c r="G2787" s="69"/>
      <c r="H2787" s="69"/>
      <c r="I2787" s="69"/>
      <c r="J2787" s="69"/>
      <c r="K2787" s="69"/>
      <c r="L2787" s="69"/>
      <c r="M2787" s="69"/>
      <c r="N2787" s="69"/>
      <c r="O2787" s="69"/>
      <c r="P2787" s="69"/>
      <c r="Q2787" s="69"/>
      <c r="R2787" s="69"/>
      <c r="S2787" s="69"/>
      <c r="T2787" s="69"/>
      <c r="U2787" s="69"/>
      <c r="V2787" s="69"/>
      <c r="W2787" s="69"/>
    </row>
    <row r="2788" spans="7:23" x14ac:dyDescent="0.3">
      <c r="G2788" s="69"/>
      <c r="H2788" s="69"/>
      <c r="I2788" s="69"/>
      <c r="J2788" s="69"/>
      <c r="K2788" s="69"/>
      <c r="L2788" s="69"/>
      <c r="M2788" s="69"/>
      <c r="N2788" s="69"/>
      <c r="O2788" s="69"/>
      <c r="P2788" s="69"/>
      <c r="Q2788" s="69"/>
      <c r="R2788" s="69"/>
      <c r="S2788" s="69"/>
      <c r="T2788" s="69"/>
      <c r="U2788" s="69"/>
      <c r="V2788" s="69"/>
      <c r="W2788" s="69"/>
    </row>
    <row r="2789" spans="7:23" x14ac:dyDescent="0.3">
      <c r="G2789" s="69"/>
      <c r="H2789" s="69"/>
      <c r="I2789" s="69"/>
      <c r="J2789" s="69"/>
      <c r="K2789" s="69"/>
      <c r="L2789" s="69"/>
      <c r="M2789" s="69"/>
      <c r="N2789" s="69"/>
      <c r="O2789" s="69"/>
      <c r="P2789" s="69"/>
      <c r="Q2789" s="69"/>
      <c r="R2789" s="69"/>
      <c r="S2789" s="69"/>
      <c r="T2789" s="69"/>
      <c r="U2789" s="69"/>
      <c r="V2789" s="69"/>
      <c r="W2789" s="69"/>
    </row>
    <row r="2790" spans="7:23" x14ac:dyDescent="0.3">
      <c r="G2790" s="69"/>
      <c r="H2790" s="69"/>
      <c r="I2790" s="69"/>
      <c r="J2790" s="69"/>
      <c r="K2790" s="69"/>
      <c r="L2790" s="69"/>
      <c r="M2790" s="69"/>
      <c r="N2790" s="69"/>
      <c r="O2790" s="69"/>
      <c r="P2790" s="69"/>
      <c r="Q2790" s="69"/>
      <c r="R2790" s="69"/>
      <c r="S2790" s="69"/>
      <c r="T2790" s="69"/>
      <c r="U2790" s="69"/>
      <c r="V2790" s="69"/>
      <c r="W2790" s="69"/>
    </row>
    <row r="2791" spans="7:23" x14ac:dyDescent="0.3">
      <c r="G2791" s="69"/>
      <c r="H2791" s="69"/>
      <c r="I2791" s="69"/>
      <c r="J2791" s="69"/>
      <c r="K2791" s="69"/>
      <c r="L2791" s="69"/>
      <c r="M2791" s="69"/>
      <c r="N2791" s="69"/>
      <c r="O2791" s="69"/>
      <c r="P2791" s="69"/>
      <c r="Q2791" s="69"/>
      <c r="R2791" s="69"/>
      <c r="S2791" s="69"/>
      <c r="T2791" s="69"/>
      <c r="U2791" s="69"/>
      <c r="V2791" s="69"/>
      <c r="W2791" s="69"/>
    </row>
    <row r="2792" spans="7:23" x14ac:dyDescent="0.3">
      <c r="G2792" s="69"/>
      <c r="H2792" s="69"/>
      <c r="I2792" s="69"/>
      <c r="J2792" s="69"/>
      <c r="K2792" s="69"/>
      <c r="L2792" s="69"/>
      <c r="M2792" s="69"/>
      <c r="N2792" s="69"/>
      <c r="O2792" s="69"/>
      <c r="P2792" s="69"/>
      <c r="Q2792" s="69"/>
      <c r="R2792" s="69"/>
      <c r="S2792" s="69"/>
      <c r="T2792" s="69"/>
      <c r="U2792" s="69"/>
      <c r="V2792" s="69"/>
      <c r="W2792" s="69"/>
    </row>
    <row r="2793" spans="7:23" x14ac:dyDescent="0.3">
      <c r="G2793" s="69"/>
      <c r="H2793" s="69"/>
      <c r="I2793" s="69"/>
      <c r="J2793" s="69"/>
      <c r="K2793" s="69"/>
      <c r="L2793" s="69"/>
      <c r="M2793" s="69"/>
      <c r="N2793" s="69"/>
      <c r="O2793" s="69"/>
      <c r="P2793" s="69"/>
      <c r="Q2793" s="69"/>
      <c r="R2793" s="69"/>
      <c r="S2793" s="69"/>
      <c r="T2793" s="69"/>
      <c r="U2793" s="69"/>
      <c r="V2793" s="69"/>
      <c r="W2793" s="69"/>
    </row>
    <row r="2794" spans="7:23" x14ac:dyDescent="0.3">
      <c r="G2794" s="69"/>
      <c r="H2794" s="69"/>
      <c r="I2794" s="69"/>
      <c r="J2794" s="69"/>
      <c r="K2794" s="69"/>
      <c r="L2794" s="69"/>
      <c r="M2794" s="69"/>
      <c r="N2794" s="69"/>
      <c r="O2794" s="69"/>
      <c r="P2794" s="69"/>
      <c r="Q2794" s="69"/>
      <c r="R2794" s="69"/>
      <c r="S2794" s="69"/>
      <c r="T2794" s="69"/>
      <c r="U2794" s="69"/>
      <c r="V2794" s="69"/>
      <c r="W2794" s="69"/>
    </row>
    <row r="2795" spans="7:23" x14ac:dyDescent="0.3">
      <c r="G2795" s="69"/>
      <c r="H2795" s="69"/>
      <c r="I2795" s="69"/>
      <c r="J2795" s="69"/>
      <c r="K2795" s="69"/>
      <c r="L2795" s="69"/>
      <c r="M2795" s="69"/>
      <c r="N2795" s="69"/>
      <c r="O2795" s="69"/>
      <c r="P2795" s="69"/>
      <c r="Q2795" s="69"/>
      <c r="R2795" s="69"/>
      <c r="S2795" s="69"/>
      <c r="T2795" s="69"/>
      <c r="U2795" s="69"/>
      <c r="V2795" s="69"/>
      <c r="W2795" s="69"/>
    </row>
    <row r="2796" spans="7:23" x14ac:dyDescent="0.3">
      <c r="G2796" s="69"/>
      <c r="H2796" s="69"/>
      <c r="I2796" s="69"/>
      <c r="J2796" s="69"/>
      <c r="K2796" s="69"/>
      <c r="L2796" s="69"/>
      <c r="M2796" s="69"/>
      <c r="N2796" s="69"/>
      <c r="O2796" s="69"/>
      <c r="P2796" s="69"/>
      <c r="Q2796" s="69"/>
      <c r="R2796" s="69"/>
      <c r="S2796" s="69"/>
      <c r="T2796" s="69"/>
      <c r="U2796" s="69"/>
      <c r="V2796" s="69"/>
      <c r="W2796" s="69"/>
    </row>
    <row r="2797" spans="7:23" x14ac:dyDescent="0.3">
      <c r="G2797" s="69"/>
      <c r="H2797" s="69"/>
      <c r="I2797" s="69"/>
      <c r="J2797" s="69"/>
      <c r="K2797" s="69"/>
      <c r="L2797" s="69"/>
      <c r="M2797" s="69"/>
      <c r="N2797" s="69"/>
      <c r="O2797" s="69"/>
      <c r="P2797" s="69"/>
      <c r="Q2797" s="69"/>
      <c r="R2797" s="69"/>
      <c r="S2797" s="69"/>
      <c r="T2797" s="69"/>
      <c r="U2797" s="69"/>
      <c r="V2797" s="69"/>
      <c r="W2797" s="69"/>
    </row>
    <row r="2798" spans="7:23" x14ac:dyDescent="0.3">
      <c r="G2798" s="69"/>
      <c r="H2798" s="69"/>
      <c r="I2798" s="69"/>
      <c r="J2798" s="69"/>
      <c r="K2798" s="69"/>
      <c r="L2798" s="69"/>
      <c r="M2798" s="69"/>
      <c r="N2798" s="69"/>
      <c r="O2798" s="69"/>
      <c r="P2798" s="69"/>
      <c r="Q2798" s="69"/>
      <c r="R2798" s="69"/>
      <c r="S2798" s="69"/>
      <c r="T2798" s="69"/>
      <c r="U2798" s="69"/>
      <c r="V2798" s="69"/>
      <c r="W2798" s="69"/>
    </row>
    <row r="2799" spans="7:23" x14ac:dyDescent="0.3">
      <c r="G2799" s="69"/>
      <c r="H2799" s="69"/>
      <c r="I2799" s="69"/>
      <c r="J2799" s="69"/>
      <c r="K2799" s="69"/>
      <c r="L2799" s="69"/>
      <c r="M2799" s="69"/>
      <c r="N2799" s="69"/>
      <c r="O2799" s="69"/>
      <c r="P2799" s="69"/>
      <c r="Q2799" s="69"/>
      <c r="R2799" s="69"/>
      <c r="S2799" s="69"/>
      <c r="T2799" s="69"/>
      <c r="U2799" s="69"/>
      <c r="V2799" s="69"/>
      <c r="W2799" s="69"/>
    </row>
    <row r="2800" spans="7:23" x14ac:dyDescent="0.3">
      <c r="G2800" s="69"/>
      <c r="H2800" s="69"/>
      <c r="I2800" s="69"/>
      <c r="J2800" s="69"/>
      <c r="K2800" s="69"/>
      <c r="L2800" s="69"/>
      <c r="M2800" s="69"/>
      <c r="N2800" s="69"/>
      <c r="O2800" s="69"/>
      <c r="P2800" s="69"/>
      <c r="Q2800" s="69"/>
      <c r="R2800" s="69"/>
      <c r="S2800" s="69"/>
      <c r="T2800" s="69"/>
      <c r="U2800" s="69"/>
      <c r="V2800" s="69"/>
      <c r="W2800" s="69"/>
    </row>
    <row r="2801" spans="7:23" x14ac:dyDescent="0.3">
      <c r="G2801" s="69"/>
      <c r="H2801" s="69"/>
      <c r="I2801" s="69"/>
      <c r="J2801" s="69"/>
      <c r="K2801" s="69"/>
      <c r="L2801" s="69"/>
      <c r="M2801" s="69"/>
      <c r="N2801" s="69"/>
      <c r="O2801" s="69"/>
      <c r="P2801" s="69"/>
      <c r="Q2801" s="69"/>
      <c r="R2801" s="69"/>
      <c r="S2801" s="69"/>
      <c r="T2801" s="69"/>
      <c r="U2801" s="69"/>
      <c r="V2801" s="69"/>
      <c r="W2801" s="69"/>
    </row>
    <row r="2802" spans="7:23" x14ac:dyDescent="0.3">
      <c r="G2802" s="69"/>
      <c r="H2802" s="69"/>
      <c r="I2802" s="69"/>
      <c r="J2802" s="69"/>
      <c r="K2802" s="69"/>
      <c r="L2802" s="69"/>
      <c r="M2802" s="69"/>
      <c r="N2802" s="69"/>
      <c r="O2802" s="69"/>
      <c r="P2802" s="69"/>
      <c r="Q2802" s="69"/>
      <c r="R2802" s="69"/>
      <c r="S2802" s="69"/>
      <c r="T2802" s="69"/>
      <c r="U2802" s="69"/>
      <c r="V2802" s="69"/>
      <c r="W2802" s="69"/>
    </row>
    <row r="2803" spans="7:23" x14ac:dyDescent="0.3">
      <c r="G2803" s="69"/>
      <c r="H2803" s="69"/>
      <c r="I2803" s="69"/>
      <c r="J2803" s="69"/>
      <c r="K2803" s="69"/>
      <c r="L2803" s="69"/>
      <c r="M2803" s="69"/>
      <c r="N2803" s="69"/>
      <c r="O2803" s="69"/>
      <c r="P2803" s="69"/>
      <c r="Q2803" s="69"/>
      <c r="R2803" s="69"/>
      <c r="S2803" s="69"/>
      <c r="T2803" s="69"/>
      <c r="U2803" s="69"/>
      <c r="V2803" s="69"/>
      <c r="W2803" s="69"/>
    </row>
    <row r="2804" spans="7:23" x14ac:dyDescent="0.3">
      <c r="G2804" s="69"/>
      <c r="H2804" s="69"/>
      <c r="I2804" s="69"/>
      <c r="J2804" s="69"/>
      <c r="K2804" s="69"/>
      <c r="L2804" s="69"/>
      <c r="M2804" s="69"/>
      <c r="N2804" s="69"/>
      <c r="O2804" s="69"/>
      <c r="P2804" s="69"/>
      <c r="Q2804" s="69"/>
      <c r="R2804" s="69"/>
      <c r="S2804" s="69"/>
      <c r="T2804" s="69"/>
      <c r="U2804" s="69"/>
      <c r="V2804" s="69"/>
      <c r="W2804" s="69"/>
    </row>
    <row r="2805" spans="7:23" x14ac:dyDescent="0.3">
      <c r="G2805" s="69"/>
      <c r="H2805" s="69"/>
      <c r="I2805" s="69"/>
      <c r="J2805" s="69"/>
      <c r="K2805" s="69"/>
      <c r="L2805" s="69"/>
      <c r="M2805" s="69"/>
      <c r="N2805" s="69"/>
      <c r="O2805" s="69"/>
      <c r="P2805" s="69"/>
      <c r="Q2805" s="69"/>
      <c r="R2805" s="69"/>
      <c r="S2805" s="69"/>
      <c r="T2805" s="69"/>
      <c r="U2805" s="69"/>
      <c r="V2805" s="69"/>
      <c r="W2805" s="69"/>
    </row>
    <row r="2806" spans="7:23" x14ac:dyDescent="0.3">
      <c r="G2806" s="69"/>
      <c r="H2806" s="69"/>
      <c r="I2806" s="69"/>
      <c r="J2806" s="69"/>
      <c r="K2806" s="69"/>
      <c r="L2806" s="69"/>
      <c r="M2806" s="69"/>
      <c r="N2806" s="69"/>
      <c r="O2806" s="69"/>
      <c r="P2806" s="69"/>
      <c r="Q2806" s="69"/>
      <c r="R2806" s="69"/>
      <c r="S2806" s="69"/>
      <c r="T2806" s="69"/>
      <c r="U2806" s="69"/>
      <c r="V2806" s="69"/>
      <c r="W2806" s="69"/>
    </row>
    <row r="2807" spans="7:23" x14ac:dyDescent="0.3">
      <c r="G2807" s="69"/>
      <c r="H2807" s="69"/>
      <c r="I2807" s="69"/>
      <c r="J2807" s="69"/>
      <c r="K2807" s="69"/>
      <c r="L2807" s="69"/>
      <c r="M2807" s="69"/>
      <c r="N2807" s="69"/>
      <c r="O2807" s="69"/>
      <c r="P2807" s="69"/>
      <c r="Q2807" s="69"/>
      <c r="R2807" s="69"/>
      <c r="S2807" s="69"/>
      <c r="T2807" s="69"/>
      <c r="U2807" s="69"/>
      <c r="V2807" s="69"/>
      <c r="W2807" s="69"/>
    </row>
    <row r="2808" spans="7:23" x14ac:dyDescent="0.3">
      <c r="G2808" s="69"/>
      <c r="H2808" s="69"/>
      <c r="I2808" s="69"/>
      <c r="J2808" s="69"/>
      <c r="K2808" s="69"/>
      <c r="L2808" s="69"/>
      <c r="M2808" s="69"/>
      <c r="N2808" s="69"/>
      <c r="O2808" s="69"/>
      <c r="P2808" s="69"/>
      <c r="Q2808" s="69"/>
      <c r="R2808" s="69"/>
      <c r="S2808" s="69"/>
      <c r="T2808" s="69"/>
      <c r="U2808" s="69"/>
      <c r="V2808" s="69"/>
      <c r="W2808" s="69"/>
    </row>
    <row r="2809" spans="7:23" x14ac:dyDescent="0.3">
      <c r="G2809" s="69"/>
      <c r="H2809" s="69"/>
      <c r="I2809" s="69"/>
      <c r="J2809" s="69"/>
      <c r="K2809" s="69"/>
      <c r="L2809" s="69"/>
      <c r="M2809" s="69"/>
      <c r="N2809" s="69"/>
      <c r="O2809" s="69"/>
      <c r="P2809" s="69"/>
      <c r="Q2809" s="69"/>
      <c r="R2809" s="69"/>
      <c r="S2809" s="69"/>
      <c r="T2809" s="69"/>
      <c r="U2809" s="69"/>
      <c r="V2809" s="69"/>
      <c r="W2809" s="69"/>
    </row>
    <row r="2810" spans="7:23" x14ac:dyDescent="0.3">
      <c r="G2810" s="69"/>
      <c r="H2810" s="69"/>
      <c r="I2810" s="69"/>
      <c r="J2810" s="69"/>
      <c r="K2810" s="69"/>
      <c r="L2810" s="69"/>
      <c r="M2810" s="69"/>
      <c r="N2810" s="69"/>
      <c r="O2810" s="69"/>
      <c r="P2810" s="69"/>
      <c r="Q2810" s="69"/>
      <c r="R2810" s="69"/>
      <c r="S2810" s="69"/>
      <c r="T2810" s="69"/>
      <c r="U2810" s="69"/>
      <c r="V2810" s="69"/>
      <c r="W2810" s="69"/>
    </row>
    <row r="2811" spans="7:23" x14ac:dyDescent="0.3">
      <c r="G2811" s="69"/>
      <c r="H2811" s="69"/>
      <c r="I2811" s="69"/>
      <c r="J2811" s="69"/>
      <c r="K2811" s="69"/>
      <c r="L2811" s="69"/>
      <c r="M2811" s="69"/>
      <c r="N2811" s="69"/>
      <c r="O2811" s="69"/>
      <c r="P2811" s="69"/>
      <c r="Q2811" s="69"/>
      <c r="R2811" s="69"/>
      <c r="S2811" s="69"/>
      <c r="T2811" s="69"/>
      <c r="U2811" s="69"/>
      <c r="V2811" s="69"/>
      <c r="W2811" s="69"/>
    </row>
    <row r="2812" spans="7:23" x14ac:dyDescent="0.3">
      <c r="G2812" s="69"/>
      <c r="H2812" s="69"/>
      <c r="I2812" s="69"/>
      <c r="J2812" s="69"/>
      <c r="K2812" s="69"/>
      <c r="L2812" s="69"/>
      <c r="M2812" s="69"/>
      <c r="N2812" s="69"/>
      <c r="O2812" s="69"/>
      <c r="P2812" s="69"/>
      <c r="Q2812" s="69"/>
      <c r="R2812" s="69"/>
      <c r="S2812" s="69"/>
      <c r="T2812" s="69"/>
      <c r="U2812" s="69"/>
      <c r="V2812" s="69"/>
      <c r="W2812" s="69"/>
    </row>
    <row r="2813" spans="7:23" x14ac:dyDescent="0.3">
      <c r="G2813" s="69"/>
      <c r="H2813" s="69"/>
      <c r="I2813" s="69"/>
      <c r="J2813" s="69"/>
      <c r="K2813" s="69"/>
      <c r="L2813" s="69"/>
      <c r="M2813" s="69"/>
      <c r="N2813" s="69"/>
      <c r="O2813" s="69"/>
      <c r="P2813" s="69"/>
      <c r="Q2813" s="69"/>
      <c r="R2813" s="69"/>
      <c r="S2813" s="69"/>
      <c r="T2813" s="69"/>
      <c r="U2813" s="69"/>
      <c r="V2813" s="69"/>
      <c r="W2813" s="69"/>
    </row>
    <row r="2814" spans="7:23" x14ac:dyDescent="0.3">
      <c r="G2814" s="69"/>
      <c r="H2814" s="69"/>
      <c r="I2814" s="69"/>
      <c r="J2814" s="69"/>
      <c r="K2814" s="69"/>
      <c r="L2814" s="69"/>
      <c r="M2814" s="69"/>
      <c r="N2814" s="69"/>
      <c r="O2814" s="69"/>
      <c r="P2814" s="69"/>
      <c r="Q2814" s="69"/>
      <c r="R2814" s="69"/>
      <c r="S2814" s="69"/>
      <c r="T2814" s="69"/>
      <c r="U2814" s="69"/>
      <c r="V2814" s="69"/>
      <c r="W2814" s="69"/>
    </row>
    <row r="2815" spans="7:23" x14ac:dyDescent="0.3">
      <c r="G2815" s="69"/>
      <c r="H2815" s="69"/>
      <c r="I2815" s="69"/>
      <c r="J2815" s="69"/>
      <c r="K2815" s="69"/>
      <c r="L2815" s="69"/>
      <c r="M2815" s="69"/>
      <c r="N2815" s="69"/>
      <c r="O2815" s="69"/>
      <c r="P2815" s="69"/>
      <c r="Q2815" s="69"/>
      <c r="R2815" s="69"/>
      <c r="S2815" s="69"/>
      <c r="T2815" s="69"/>
      <c r="U2815" s="69"/>
      <c r="V2815" s="69"/>
      <c r="W2815" s="69"/>
    </row>
    <row r="2816" spans="7:23" x14ac:dyDescent="0.3">
      <c r="G2816" s="69"/>
      <c r="H2816" s="69"/>
      <c r="I2816" s="69"/>
      <c r="J2816" s="69"/>
      <c r="K2816" s="69"/>
      <c r="L2816" s="69"/>
      <c r="M2816" s="69"/>
      <c r="N2816" s="69"/>
      <c r="O2816" s="69"/>
      <c r="P2816" s="69"/>
      <c r="Q2816" s="69"/>
      <c r="R2816" s="69"/>
      <c r="S2816" s="69"/>
      <c r="T2816" s="69"/>
      <c r="U2816" s="69"/>
      <c r="V2816" s="69"/>
      <c r="W2816" s="69"/>
    </row>
    <row r="2817" spans="1:23" x14ac:dyDescent="0.3">
      <c r="G2817" s="69"/>
      <c r="H2817" s="69"/>
      <c r="I2817" s="69"/>
      <c r="J2817" s="69"/>
      <c r="K2817" s="69"/>
      <c r="L2817" s="69"/>
      <c r="M2817" s="69"/>
      <c r="N2817" s="69"/>
      <c r="O2817" s="69"/>
      <c r="P2817" s="69"/>
      <c r="Q2817" s="69"/>
      <c r="R2817" s="69"/>
      <c r="S2817" s="69"/>
      <c r="T2817" s="69"/>
      <c r="U2817" s="69"/>
      <c r="V2817" s="69"/>
      <c r="W2817" s="69"/>
    </row>
    <row r="2818" spans="1:23" x14ac:dyDescent="0.3">
      <c r="G2818" s="69"/>
      <c r="H2818" s="69"/>
      <c r="I2818" s="69"/>
      <c r="J2818" s="69"/>
      <c r="K2818" s="69"/>
      <c r="L2818" s="69"/>
      <c r="M2818" s="69"/>
      <c r="N2818" s="69"/>
      <c r="O2818" s="69"/>
      <c r="P2818" s="69"/>
      <c r="Q2818" s="69"/>
      <c r="R2818" s="69"/>
      <c r="S2818" s="69"/>
      <c r="T2818" s="69"/>
      <c r="U2818" s="69"/>
      <c r="V2818" s="69"/>
      <c r="W2818" s="69"/>
    </row>
    <row r="2819" spans="1:23" x14ac:dyDescent="0.3">
      <c r="G2819" s="69"/>
      <c r="H2819" s="69"/>
      <c r="I2819" s="69"/>
      <c r="J2819" s="69"/>
      <c r="K2819" s="69"/>
      <c r="L2819" s="69"/>
      <c r="M2819" s="69"/>
      <c r="N2819" s="69"/>
      <c r="O2819" s="69"/>
      <c r="P2819" s="69"/>
      <c r="Q2819" s="69"/>
      <c r="R2819" s="69"/>
      <c r="S2819" s="69"/>
      <c r="T2819" s="69"/>
      <c r="U2819" s="69"/>
      <c r="V2819" s="69"/>
      <c r="W2819" s="69"/>
    </row>
    <row r="2820" spans="1:23" ht="21" x14ac:dyDescent="0.4">
      <c r="A2820" s="48"/>
      <c r="G2820" s="69"/>
      <c r="H2820" s="69"/>
      <c r="I2820" s="69"/>
      <c r="J2820" s="69"/>
      <c r="K2820" s="69"/>
      <c r="L2820" s="69"/>
      <c r="M2820" s="69"/>
      <c r="N2820" s="69"/>
      <c r="O2820" s="69"/>
      <c r="P2820" s="69"/>
      <c r="Q2820" s="69"/>
      <c r="R2820" s="69"/>
      <c r="S2820" s="69"/>
      <c r="T2820" s="69"/>
      <c r="U2820" s="69"/>
      <c r="V2820" s="69"/>
      <c r="W2820" s="69"/>
    </row>
    <row r="2821" spans="1:23" x14ac:dyDescent="0.3">
      <c r="G2821" s="69"/>
      <c r="H2821" s="69"/>
      <c r="I2821" s="69"/>
      <c r="J2821" s="69"/>
      <c r="K2821" s="69"/>
      <c r="L2821" s="69"/>
      <c r="M2821" s="69"/>
      <c r="N2821" s="69"/>
      <c r="O2821" s="69"/>
      <c r="P2821" s="69"/>
      <c r="Q2821" s="69"/>
      <c r="R2821" s="69"/>
      <c r="S2821" s="69"/>
      <c r="T2821" s="69"/>
      <c r="U2821" s="69"/>
      <c r="V2821" s="69"/>
      <c r="W2821" s="69"/>
    </row>
    <row r="2822" spans="1:23" x14ac:dyDescent="0.3">
      <c r="G2822" s="69"/>
      <c r="H2822" s="69"/>
      <c r="I2822" s="69"/>
      <c r="J2822" s="69"/>
      <c r="K2822" s="69"/>
      <c r="L2822" s="69"/>
      <c r="M2822" s="69"/>
      <c r="N2822" s="69"/>
      <c r="O2822" s="69"/>
      <c r="P2822" s="69"/>
      <c r="Q2822" s="69"/>
      <c r="R2822" s="69"/>
      <c r="S2822" s="69"/>
      <c r="T2822" s="69"/>
      <c r="U2822" s="69"/>
      <c r="V2822" s="69"/>
      <c r="W2822" s="69"/>
    </row>
    <row r="2823" spans="1:23" x14ac:dyDescent="0.3">
      <c r="G2823" s="69"/>
      <c r="H2823" s="69"/>
      <c r="I2823" s="69"/>
      <c r="J2823" s="69"/>
      <c r="K2823" s="69"/>
      <c r="L2823" s="69"/>
      <c r="M2823" s="69"/>
      <c r="N2823" s="69"/>
      <c r="O2823" s="69"/>
      <c r="P2823" s="69"/>
      <c r="Q2823" s="69"/>
      <c r="R2823" s="69"/>
      <c r="S2823" s="69"/>
      <c r="T2823" s="69"/>
      <c r="U2823" s="69"/>
      <c r="V2823" s="69"/>
      <c r="W2823" s="69"/>
    </row>
    <row r="2824" spans="1:23" x14ac:dyDescent="0.3">
      <c r="G2824" s="69"/>
      <c r="H2824" s="69"/>
      <c r="I2824" s="69"/>
      <c r="J2824" s="69"/>
      <c r="K2824" s="69"/>
      <c r="L2824" s="69"/>
      <c r="M2824" s="69"/>
      <c r="N2824" s="69"/>
      <c r="O2824" s="69"/>
      <c r="P2824" s="69"/>
      <c r="Q2824" s="69"/>
      <c r="R2824" s="69"/>
      <c r="S2824" s="69"/>
      <c r="T2824" s="69"/>
      <c r="U2824" s="69"/>
      <c r="V2824" s="69"/>
      <c r="W2824" s="69"/>
    </row>
    <row r="2825" spans="1:23" x14ac:dyDescent="0.3">
      <c r="G2825" s="69"/>
      <c r="H2825" s="69"/>
      <c r="I2825" s="69"/>
      <c r="J2825" s="69"/>
      <c r="K2825" s="69"/>
      <c r="L2825" s="69"/>
      <c r="M2825" s="69"/>
      <c r="N2825" s="69"/>
      <c r="O2825" s="69"/>
      <c r="P2825" s="69"/>
      <c r="Q2825" s="69"/>
      <c r="R2825" s="69"/>
      <c r="S2825" s="69"/>
      <c r="T2825" s="69"/>
      <c r="U2825" s="69"/>
      <c r="V2825" s="69"/>
      <c r="W2825" s="69"/>
    </row>
    <row r="2826" spans="1:23" x14ac:dyDescent="0.3">
      <c r="G2826" s="69"/>
      <c r="H2826" s="69"/>
      <c r="I2826" s="69"/>
      <c r="J2826" s="69"/>
      <c r="K2826" s="69"/>
      <c r="L2826" s="69"/>
      <c r="M2826" s="69"/>
      <c r="N2826" s="69"/>
      <c r="O2826" s="69"/>
      <c r="P2826" s="69"/>
      <c r="Q2826" s="69"/>
      <c r="R2826" s="69"/>
      <c r="S2826" s="69"/>
      <c r="T2826" s="69"/>
      <c r="U2826" s="69"/>
      <c r="V2826" s="69"/>
      <c r="W2826" s="69"/>
    </row>
    <row r="2827" spans="1:23" x14ac:dyDescent="0.3">
      <c r="G2827" s="69"/>
      <c r="H2827" s="69"/>
      <c r="I2827" s="69"/>
      <c r="J2827" s="69"/>
      <c r="K2827" s="69"/>
      <c r="L2827" s="69"/>
      <c r="M2827" s="69"/>
      <c r="N2827" s="69"/>
      <c r="O2827" s="69"/>
      <c r="P2827" s="69"/>
      <c r="Q2827" s="69"/>
      <c r="R2827" s="69"/>
      <c r="S2827" s="69"/>
      <c r="T2827" s="69"/>
      <c r="U2827" s="69"/>
      <c r="V2827" s="69"/>
      <c r="W2827" s="69"/>
    </row>
    <row r="2828" spans="1:23" x14ac:dyDescent="0.3">
      <c r="G2828" s="69"/>
      <c r="H2828" s="69"/>
      <c r="I2828" s="69"/>
      <c r="J2828" s="69"/>
      <c r="K2828" s="69"/>
      <c r="L2828" s="69"/>
      <c r="M2828" s="69"/>
      <c r="N2828" s="69"/>
      <c r="O2828" s="69"/>
      <c r="P2828" s="69"/>
      <c r="Q2828" s="69"/>
      <c r="R2828" s="69"/>
      <c r="S2828" s="69"/>
      <c r="T2828" s="69"/>
      <c r="U2828" s="69"/>
      <c r="V2828" s="69"/>
      <c r="W2828" s="69"/>
    </row>
    <row r="2829" spans="1:23" x14ac:dyDescent="0.3">
      <c r="G2829" s="69"/>
      <c r="H2829" s="69"/>
      <c r="I2829" s="69"/>
      <c r="J2829" s="69"/>
      <c r="K2829" s="69"/>
      <c r="L2829" s="69"/>
      <c r="M2829" s="69"/>
      <c r="N2829" s="69"/>
      <c r="O2829" s="69"/>
      <c r="P2829" s="69"/>
      <c r="Q2829" s="69"/>
      <c r="R2829" s="69"/>
      <c r="S2829" s="69"/>
      <c r="T2829" s="69"/>
      <c r="U2829" s="69"/>
      <c r="V2829" s="69"/>
      <c r="W2829" s="69"/>
    </row>
    <row r="2830" spans="1:23" x14ac:dyDescent="0.3">
      <c r="G2830" s="69"/>
      <c r="H2830" s="69"/>
      <c r="I2830" s="69"/>
      <c r="J2830" s="69"/>
      <c r="K2830" s="69"/>
      <c r="L2830" s="69"/>
      <c r="M2830" s="69"/>
      <c r="N2830" s="69"/>
      <c r="O2830" s="69"/>
      <c r="P2830" s="69"/>
      <c r="Q2830" s="69"/>
      <c r="R2830" s="69"/>
      <c r="S2830" s="69"/>
      <c r="T2830" s="69"/>
      <c r="U2830" s="69"/>
      <c r="V2830" s="69"/>
      <c r="W2830" s="69"/>
    </row>
    <row r="2831" spans="1:23" x14ac:dyDescent="0.3">
      <c r="G2831" s="69"/>
      <c r="H2831" s="69"/>
      <c r="I2831" s="69"/>
      <c r="J2831" s="69"/>
      <c r="K2831" s="69"/>
      <c r="L2831" s="69"/>
      <c r="M2831" s="69"/>
      <c r="N2831" s="69"/>
      <c r="O2831" s="69"/>
      <c r="P2831" s="69"/>
      <c r="Q2831" s="69"/>
      <c r="R2831" s="69"/>
      <c r="S2831" s="69"/>
      <c r="T2831" s="69"/>
      <c r="U2831" s="69"/>
      <c r="V2831" s="69"/>
      <c r="W2831" s="69"/>
    </row>
    <row r="2832" spans="1:23" x14ac:dyDescent="0.3">
      <c r="G2832" s="69"/>
      <c r="H2832" s="69"/>
      <c r="I2832" s="69"/>
      <c r="J2832" s="69"/>
      <c r="K2832" s="69"/>
      <c r="L2832" s="69"/>
      <c r="M2832" s="69"/>
      <c r="N2832" s="69"/>
      <c r="O2832" s="69"/>
      <c r="P2832" s="69"/>
      <c r="Q2832" s="69"/>
      <c r="R2832" s="69"/>
      <c r="S2832" s="69"/>
      <c r="T2832" s="69"/>
      <c r="U2832" s="69"/>
      <c r="V2832" s="69"/>
      <c r="W2832" s="69"/>
    </row>
    <row r="2833" spans="7:23" x14ac:dyDescent="0.3">
      <c r="G2833" s="69"/>
      <c r="H2833" s="69"/>
      <c r="I2833" s="69"/>
      <c r="J2833" s="69"/>
      <c r="K2833" s="69"/>
      <c r="L2833" s="69"/>
      <c r="M2833" s="69"/>
      <c r="N2833" s="69"/>
      <c r="O2833" s="69"/>
      <c r="P2833" s="69"/>
      <c r="Q2833" s="69"/>
      <c r="R2833" s="69"/>
      <c r="S2833" s="69"/>
      <c r="T2833" s="69"/>
      <c r="U2833" s="69"/>
      <c r="V2833" s="69"/>
      <c r="W2833" s="69"/>
    </row>
    <row r="2834" spans="7:23" x14ac:dyDescent="0.3">
      <c r="G2834" s="69"/>
      <c r="H2834" s="69"/>
      <c r="I2834" s="69"/>
      <c r="J2834" s="69"/>
      <c r="K2834" s="69"/>
      <c r="L2834" s="69"/>
      <c r="M2834" s="69"/>
      <c r="N2834" s="69"/>
      <c r="O2834" s="69"/>
      <c r="P2834" s="69"/>
      <c r="Q2834" s="69"/>
      <c r="R2834" s="69"/>
      <c r="S2834" s="69"/>
      <c r="T2834" s="69"/>
      <c r="U2834" s="69"/>
      <c r="V2834" s="69"/>
      <c r="W2834" s="69"/>
    </row>
    <row r="2835" spans="7:23" x14ac:dyDescent="0.3">
      <c r="G2835" s="69"/>
      <c r="H2835" s="69"/>
      <c r="I2835" s="69"/>
      <c r="J2835" s="69"/>
      <c r="K2835" s="69"/>
      <c r="L2835" s="69"/>
      <c r="M2835" s="69"/>
      <c r="N2835" s="69"/>
      <c r="O2835" s="69"/>
      <c r="P2835" s="69"/>
      <c r="Q2835" s="69"/>
      <c r="R2835" s="69"/>
      <c r="S2835" s="69"/>
      <c r="T2835" s="69"/>
      <c r="U2835" s="69"/>
      <c r="V2835" s="69"/>
      <c r="W2835" s="69"/>
    </row>
    <row r="2836" spans="7:23" x14ac:dyDescent="0.3">
      <c r="G2836" s="69"/>
      <c r="H2836" s="69"/>
      <c r="I2836" s="69"/>
      <c r="J2836" s="69"/>
      <c r="K2836" s="69"/>
      <c r="L2836" s="69"/>
      <c r="M2836" s="69"/>
      <c r="N2836" s="69"/>
      <c r="O2836" s="69"/>
      <c r="P2836" s="69"/>
      <c r="Q2836" s="69"/>
      <c r="R2836" s="69"/>
      <c r="S2836" s="69"/>
      <c r="T2836" s="69"/>
      <c r="U2836" s="69"/>
      <c r="V2836" s="69"/>
      <c r="W2836" s="69"/>
    </row>
    <row r="2837" spans="7:23" x14ac:dyDescent="0.3">
      <c r="G2837" s="69"/>
      <c r="H2837" s="69"/>
      <c r="I2837" s="69"/>
      <c r="J2837" s="69"/>
      <c r="K2837" s="69"/>
      <c r="L2837" s="69"/>
      <c r="M2837" s="69"/>
      <c r="N2837" s="69"/>
      <c r="O2837" s="69"/>
      <c r="P2837" s="69"/>
      <c r="Q2837" s="69"/>
      <c r="R2837" s="69"/>
      <c r="S2837" s="69"/>
      <c r="T2837" s="69"/>
      <c r="U2837" s="69"/>
      <c r="V2837" s="69"/>
      <c r="W2837" s="69"/>
    </row>
    <row r="2838" spans="7:23" x14ac:dyDescent="0.3">
      <c r="G2838" s="69"/>
      <c r="H2838" s="69"/>
      <c r="I2838" s="69"/>
      <c r="J2838" s="69"/>
      <c r="K2838" s="69"/>
      <c r="L2838" s="69"/>
      <c r="M2838" s="69"/>
      <c r="N2838" s="69"/>
      <c r="O2838" s="69"/>
      <c r="P2838" s="69"/>
      <c r="Q2838" s="69"/>
      <c r="R2838" s="69"/>
      <c r="S2838" s="69"/>
      <c r="T2838" s="69"/>
      <c r="U2838" s="69"/>
      <c r="V2838" s="69"/>
      <c r="W2838" s="69"/>
    </row>
    <row r="2839" spans="7:23" x14ac:dyDescent="0.3">
      <c r="G2839" s="69"/>
      <c r="H2839" s="69"/>
      <c r="I2839" s="69"/>
      <c r="J2839" s="69"/>
      <c r="K2839" s="69"/>
      <c r="L2839" s="69"/>
      <c r="M2839" s="69"/>
      <c r="N2839" s="69"/>
      <c r="O2839" s="69"/>
      <c r="P2839" s="69"/>
      <c r="Q2839" s="69"/>
      <c r="R2839" s="69"/>
      <c r="S2839" s="69"/>
      <c r="T2839" s="69"/>
      <c r="U2839" s="69"/>
      <c r="V2839" s="69"/>
      <c r="W2839" s="69"/>
    </row>
    <row r="2840" spans="7:23" x14ac:dyDescent="0.3">
      <c r="G2840" s="69"/>
      <c r="H2840" s="69"/>
      <c r="I2840" s="69"/>
      <c r="J2840" s="69"/>
      <c r="K2840" s="69"/>
      <c r="L2840" s="69"/>
      <c r="M2840" s="69"/>
      <c r="N2840" s="69"/>
      <c r="O2840" s="69"/>
      <c r="P2840" s="69"/>
      <c r="Q2840" s="69"/>
      <c r="R2840" s="69"/>
      <c r="S2840" s="69"/>
      <c r="T2840" s="69"/>
      <c r="U2840" s="69"/>
      <c r="V2840" s="69"/>
      <c r="W2840" s="69"/>
    </row>
    <row r="2841" spans="7:23" x14ac:dyDescent="0.3">
      <c r="G2841" s="69"/>
      <c r="H2841" s="69"/>
      <c r="I2841" s="69"/>
      <c r="J2841" s="69"/>
      <c r="K2841" s="69"/>
      <c r="L2841" s="69"/>
      <c r="M2841" s="69"/>
      <c r="N2841" s="69"/>
      <c r="O2841" s="69"/>
      <c r="P2841" s="69"/>
      <c r="Q2841" s="69"/>
      <c r="R2841" s="69"/>
      <c r="S2841" s="69"/>
      <c r="T2841" s="69"/>
      <c r="U2841" s="69"/>
      <c r="V2841" s="69"/>
      <c r="W2841" s="69"/>
    </row>
    <row r="2842" spans="7:23" x14ac:dyDescent="0.3">
      <c r="G2842" s="69"/>
      <c r="H2842" s="69"/>
      <c r="I2842" s="69"/>
      <c r="J2842" s="69"/>
      <c r="K2842" s="69"/>
      <c r="L2842" s="69"/>
      <c r="M2842" s="69"/>
      <c r="N2842" s="69"/>
      <c r="O2842" s="69"/>
      <c r="P2842" s="69"/>
      <c r="Q2842" s="69"/>
      <c r="R2842" s="69"/>
      <c r="S2842" s="69"/>
      <c r="T2842" s="69"/>
      <c r="U2842" s="69"/>
      <c r="V2842" s="69"/>
      <c r="W2842" s="69"/>
    </row>
    <row r="2843" spans="7:23" x14ac:dyDescent="0.3">
      <c r="G2843" s="69"/>
      <c r="H2843" s="69"/>
      <c r="I2843" s="69"/>
      <c r="J2843" s="69"/>
      <c r="K2843" s="69"/>
      <c r="L2843" s="69"/>
      <c r="M2843" s="69"/>
      <c r="N2843" s="69"/>
      <c r="O2843" s="69"/>
      <c r="P2843" s="69"/>
      <c r="Q2843" s="69"/>
      <c r="R2843" s="69"/>
      <c r="S2843" s="69"/>
      <c r="T2843" s="69"/>
      <c r="U2843" s="69"/>
      <c r="V2843" s="69"/>
      <c r="W2843" s="69"/>
    </row>
    <row r="2844" spans="7:23" x14ac:dyDescent="0.3">
      <c r="G2844" s="69"/>
      <c r="H2844" s="69"/>
      <c r="I2844" s="69"/>
      <c r="J2844" s="69"/>
      <c r="K2844" s="69"/>
      <c r="L2844" s="69"/>
      <c r="M2844" s="69"/>
      <c r="N2844" s="69"/>
      <c r="O2844" s="69"/>
      <c r="P2844" s="69"/>
      <c r="Q2844" s="69"/>
      <c r="R2844" s="69"/>
      <c r="S2844" s="69"/>
      <c r="T2844" s="69"/>
      <c r="U2844" s="69"/>
      <c r="V2844" s="69"/>
      <c r="W2844" s="69"/>
    </row>
    <row r="2845" spans="7:23" x14ac:dyDescent="0.3">
      <c r="G2845" s="69"/>
      <c r="H2845" s="69"/>
      <c r="I2845" s="69"/>
      <c r="J2845" s="69"/>
      <c r="K2845" s="69"/>
      <c r="L2845" s="69"/>
      <c r="M2845" s="69"/>
      <c r="N2845" s="69"/>
      <c r="O2845" s="69"/>
      <c r="P2845" s="69"/>
      <c r="Q2845" s="69"/>
      <c r="R2845" s="69"/>
      <c r="S2845" s="69"/>
      <c r="T2845" s="69"/>
      <c r="U2845" s="69"/>
      <c r="V2845" s="69"/>
      <c r="W2845" s="69"/>
    </row>
    <row r="2846" spans="7:23" x14ac:dyDescent="0.3">
      <c r="G2846" s="69"/>
      <c r="H2846" s="69"/>
      <c r="I2846" s="69"/>
      <c r="J2846" s="69"/>
      <c r="K2846" s="69"/>
      <c r="L2846" s="69"/>
      <c r="M2846" s="69"/>
      <c r="N2846" s="69"/>
      <c r="O2846" s="69"/>
      <c r="P2846" s="69"/>
      <c r="Q2846" s="69"/>
      <c r="R2846" s="69"/>
      <c r="S2846" s="69"/>
      <c r="T2846" s="69"/>
      <c r="U2846" s="69"/>
      <c r="V2846" s="69"/>
      <c r="W2846" s="69"/>
    </row>
    <row r="2847" spans="7:23" x14ac:dyDescent="0.3">
      <c r="G2847" s="69"/>
      <c r="H2847" s="69"/>
      <c r="I2847" s="69"/>
      <c r="J2847" s="69"/>
      <c r="K2847" s="69"/>
      <c r="L2847" s="69"/>
      <c r="M2847" s="69"/>
      <c r="N2847" s="69"/>
      <c r="O2847" s="69"/>
      <c r="P2847" s="69"/>
      <c r="Q2847" s="69"/>
      <c r="R2847" s="69"/>
      <c r="S2847" s="69"/>
      <c r="T2847" s="69"/>
      <c r="U2847" s="69"/>
      <c r="V2847" s="69"/>
      <c r="W2847" s="69"/>
    </row>
    <row r="2848" spans="7:23" x14ac:dyDescent="0.3">
      <c r="G2848" s="69"/>
      <c r="H2848" s="69"/>
      <c r="I2848" s="69"/>
      <c r="J2848" s="69"/>
      <c r="K2848" s="69"/>
      <c r="L2848" s="69"/>
      <c r="M2848" s="69"/>
      <c r="N2848" s="69"/>
      <c r="O2848" s="69"/>
      <c r="P2848" s="69"/>
      <c r="Q2848" s="69"/>
      <c r="R2848" s="69"/>
      <c r="S2848" s="69"/>
      <c r="T2848" s="69"/>
      <c r="U2848" s="69"/>
      <c r="V2848" s="69"/>
      <c r="W2848" s="69"/>
    </row>
    <row r="2849" spans="7:23" x14ac:dyDescent="0.3">
      <c r="G2849" s="69"/>
      <c r="H2849" s="69"/>
      <c r="I2849" s="69"/>
      <c r="J2849" s="69"/>
      <c r="K2849" s="69"/>
      <c r="L2849" s="69"/>
      <c r="M2849" s="69"/>
      <c r="N2849" s="69"/>
      <c r="O2849" s="69"/>
      <c r="P2849" s="69"/>
      <c r="Q2849" s="69"/>
      <c r="R2849" s="69"/>
      <c r="S2849" s="69"/>
      <c r="T2849" s="69"/>
      <c r="U2849" s="69"/>
      <c r="V2849" s="69"/>
      <c r="W2849" s="69"/>
    </row>
    <row r="2850" spans="7:23" x14ac:dyDescent="0.3">
      <c r="G2850" s="69"/>
      <c r="H2850" s="69"/>
      <c r="I2850" s="69"/>
      <c r="J2850" s="69"/>
      <c r="K2850" s="69"/>
      <c r="L2850" s="69"/>
      <c r="M2850" s="69"/>
      <c r="N2850" s="69"/>
      <c r="O2850" s="69"/>
      <c r="P2850" s="69"/>
      <c r="Q2850" s="69"/>
      <c r="R2850" s="69"/>
      <c r="S2850" s="69"/>
      <c r="T2850" s="69"/>
      <c r="U2850" s="69"/>
      <c r="V2850" s="69"/>
      <c r="W2850" s="69"/>
    </row>
    <row r="2851" spans="7:23" x14ac:dyDescent="0.3">
      <c r="G2851" s="69"/>
      <c r="H2851" s="69"/>
      <c r="I2851" s="69"/>
      <c r="J2851" s="69"/>
      <c r="K2851" s="69"/>
      <c r="L2851" s="69"/>
      <c r="M2851" s="69"/>
      <c r="N2851" s="69"/>
      <c r="O2851" s="69"/>
      <c r="P2851" s="69"/>
      <c r="Q2851" s="69"/>
      <c r="R2851" s="69"/>
      <c r="S2851" s="69"/>
      <c r="T2851" s="69"/>
      <c r="U2851" s="69"/>
      <c r="V2851" s="69"/>
      <c r="W2851" s="69"/>
    </row>
    <row r="2852" spans="7:23" x14ac:dyDescent="0.3">
      <c r="G2852" s="69"/>
      <c r="H2852" s="69"/>
      <c r="I2852" s="69"/>
      <c r="J2852" s="69"/>
      <c r="K2852" s="69"/>
      <c r="L2852" s="69"/>
      <c r="M2852" s="69"/>
      <c r="N2852" s="69"/>
      <c r="O2852" s="69"/>
      <c r="P2852" s="69"/>
      <c r="Q2852" s="69"/>
      <c r="R2852" s="69"/>
      <c r="S2852" s="69"/>
      <c r="T2852" s="69"/>
      <c r="U2852" s="69"/>
      <c r="V2852" s="69"/>
      <c r="W2852" s="69"/>
    </row>
    <row r="2853" spans="7:23" x14ac:dyDescent="0.3">
      <c r="G2853" s="69"/>
      <c r="H2853" s="69"/>
      <c r="I2853" s="69"/>
      <c r="J2853" s="69"/>
      <c r="K2853" s="69"/>
      <c r="L2853" s="69"/>
      <c r="M2853" s="69"/>
      <c r="N2853" s="69"/>
      <c r="O2853" s="69"/>
      <c r="P2853" s="69"/>
      <c r="Q2853" s="69"/>
      <c r="R2853" s="69"/>
      <c r="S2853" s="69"/>
      <c r="T2853" s="69"/>
      <c r="U2853" s="69"/>
      <c r="V2853" s="69"/>
      <c r="W2853" s="69"/>
    </row>
    <row r="2854" spans="7:23" x14ac:dyDescent="0.3">
      <c r="G2854" s="69"/>
      <c r="H2854" s="69"/>
      <c r="I2854" s="69"/>
      <c r="J2854" s="69"/>
      <c r="K2854" s="69"/>
      <c r="L2854" s="69"/>
      <c r="M2854" s="69"/>
      <c r="N2854" s="69"/>
      <c r="O2854" s="69"/>
      <c r="P2854" s="69"/>
      <c r="Q2854" s="69"/>
      <c r="R2854" s="69"/>
      <c r="S2854" s="69"/>
      <c r="T2854" s="69"/>
      <c r="U2854" s="69"/>
      <c r="V2854" s="69"/>
      <c r="W2854" s="69"/>
    </row>
    <row r="2855" spans="7:23" x14ac:dyDescent="0.3">
      <c r="G2855" s="69"/>
      <c r="H2855" s="69"/>
      <c r="I2855" s="69"/>
      <c r="J2855" s="69"/>
      <c r="K2855" s="69"/>
      <c r="L2855" s="69"/>
      <c r="M2855" s="69"/>
      <c r="N2855" s="69"/>
      <c r="O2855" s="69"/>
      <c r="P2855" s="69"/>
      <c r="Q2855" s="69"/>
      <c r="R2855" s="69"/>
      <c r="S2855" s="69"/>
      <c r="T2855" s="69"/>
      <c r="U2855" s="69"/>
      <c r="V2855" s="69"/>
      <c r="W2855" s="69"/>
    </row>
    <row r="2856" spans="7:23" x14ac:dyDescent="0.3">
      <c r="G2856" s="69"/>
      <c r="H2856" s="69"/>
      <c r="I2856" s="69"/>
      <c r="J2856" s="69"/>
      <c r="K2856" s="69"/>
      <c r="L2856" s="69"/>
      <c r="M2856" s="69"/>
      <c r="N2856" s="69"/>
      <c r="O2856" s="69"/>
      <c r="P2856" s="69"/>
      <c r="Q2856" s="69"/>
      <c r="R2856" s="69"/>
      <c r="S2856" s="69"/>
      <c r="T2856" s="69"/>
      <c r="U2856" s="69"/>
      <c r="V2856" s="69"/>
      <c r="W2856" s="69"/>
    </row>
    <row r="2857" spans="7:23" x14ac:dyDescent="0.3">
      <c r="G2857" s="69"/>
      <c r="H2857" s="69"/>
      <c r="I2857" s="69"/>
      <c r="J2857" s="69"/>
      <c r="K2857" s="69"/>
      <c r="L2857" s="69"/>
      <c r="M2857" s="69"/>
      <c r="N2857" s="69"/>
      <c r="O2857" s="69"/>
      <c r="P2857" s="69"/>
      <c r="Q2857" s="69"/>
      <c r="R2857" s="69"/>
      <c r="S2857" s="69"/>
      <c r="T2857" s="69"/>
      <c r="U2857" s="69"/>
      <c r="V2857" s="69"/>
      <c r="W2857" s="69"/>
    </row>
    <row r="2858" spans="7:23" x14ac:dyDescent="0.3">
      <c r="G2858" s="69"/>
      <c r="H2858" s="69"/>
      <c r="I2858" s="69"/>
      <c r="J2858" s="69"/>
      <c r="K2858" s="69"/>
      <c r="L2858" s="69"/>
      <c r="M2858" s="69"/>
      <c r="N2858" s="69"/>
      <c r="O2858" s="69"/>
      <c r="P2858" s="69"/>
      <c r="Q2858" s="69"/>
      <c r="R2858" s="69"/>
      <c r="S2858" s="69"/>
      <c r="T2858" s="69"/>
      <c r="U2858" s="69"/>
      <c r="V2858" s="69"/>
      <c r="W2858" s="69"/>
    </row>
    <row r="2859" spans="7:23" x14ac:dyDescent="0.3">
      <c r="G2859" s="69"/>
      <c r="H2859" s="69"/>
      <c r="I2859" s="69"/>
      <c r="J2859" s="69"/>
      <c r="K2859" s="69"/>
      <c r="L2859" s="69"/>
      <c r="M2859" s="69"/>
      <c r="N2859" s="69"/>
      <c r="O2859" s="69"/>
      <c r="P2859" s="69"/>
      <c r="Q2859" s="69"/>
      <c r="R2859" s="69"/>
      <c r="S2859" s="69"/>
      <c r="T2859" s="69"/>
      <c r="U2859" s="69"/>
      <c r="V2859" s="69"/>
      <c r="W2859" s="69"/>
    </row>
    <row r="2860" spans="7:23" x14ac:dyDescent="0.3">
      <c r="G2860" s="69"/>
      <c r="H2860" s="69"/>
      <c r="I2860" s="69"/>
      <c r="J2860" s="69"/>
      <c r="K2860" s="69"/>
      <c r="L2860" s="69"/>
      <c r="M2860" s="69"/>
      <c r="N2860" s="69"/>
      <c r="O2860" s="69"/>
      <c r="P2860" s="69"/>
      <c r="Q2860" s="69"/>
      <c r="R2860" s="69"/>
      <c r="S2860" s="69"/>
      <c r="T2860" s="69"/>
      <c r="U2860" s="69"/>
      <c r="V2860" s="69"/>
      <c r="W2860" s="69"/>
    </row>
    <row r="2861" spans="7:23" x14ac:dyDescent="0.3">
      <c r="G2861" s="69"/>
      <c r="H2861" s="69"/>
      <c r="I2861" s="69"/>
      <c r="J2861" s="69"/>
      <c r="K2861" s="69"/>
      <c r="L2861" s="69"/>
      <c r="M2861" s="69"/>
      <c r="N2861" s="69"/>
      <c r="O2861" s="69"/>
      <c r="P2861" s="69"/>
      <c r="Q2861" s="69"/>
      <c r="R2861" s="69"/>
      <c r="S2861" s="69"/>
      <c r="T2861" s="69"/>
      <c r="U2861" s="69"/>
      <c r="V2861" s="69"/>
      <c r="W2861" s="69"/>
    </row>
    <row r="2862" spans="7:23" x14ac:dyDescent="0.3">
      <c r="G2862" s="69"/>
      <c r="H2862" s="69"/>
      <c r="I2862" s="69"/>
      <c r="J2862" s="69"/>
      <c r="K2862" s="69"/>
      <c r="L2862" s="69"/>
      <c r="M2862" s="69"/>
      <c r="N2862" s="69"/>
      <c r="O2862" s="69"/>
      <c r="P2862" s="69"/>
      <c r="Q2862" s="69"/>
      <c r="R2862" s="69"/>
      <c r="S2862" s="69"/>
      <c r="T2862" s="69"/>
      <c r="U2862" s="69"/>
      <c r="V2862" s="69"/>
      <c r="W2862" s="69"/>
    </row>
    <row r="2863" spans="7:23" x14ac:dyDescent="0.3">
      <c r="G2863" s="69"/>
      <c r="H2863" s="69"/>
      <c r="I2863" s="69"/>
      <c r="J2863" s="69"/>
      <c r="K2863" s="69"/>
      <c r="L2863" s="69"/>
      <c r="M2863" s="69"/>
      <c r="N2863" s="69"/>
      <c r="O2863" s="69"/>
      <c r="P2863" s="69"/>
      <c r="Q2863" s="69"/>
      <c r="R2863" s="69"/>
      <c r="S2863" s="69"/>
      <c r="T2863" s="69"/>
      <c r="U2863" s="69"/>
      <c r="V2863" s="69"/>
      <c r="W2863" s="69"/>
    </row>
    <row r="2864" spans="7:23" x14ac:dyDescent="0.3">
      <c r="G2864" s="69"/>
      <c r="H2864" s="69"/>
      <c r="I2864" s="69"/>
      <c r="J2864" s="69"/>
      <c r="K2864" s="69"/>
      <c r="L2864" s="69"/>
      <c r="M2864" s="69"/>
      <c r="N2864" s="69"/>
      <c r="O2864" s="69"/>
      <c r="P2864" s="69"/>
      <c r="Q2864" s="69"/>
      <c r="R2864" s="69"/>
      <c r="S2864" s="69"/>
      <c r="T2864" s="69"/>
      <c r="U2864" s="69"/>
      <c r="V2864" s="69"/>
      <c r="W2864" s="69"/>
    </row>
    <row r="2865" spans="7:23" x14ac:dyDescent="0.3">
      <c r="G2865" s="69"/>
      <c r="H2865" s="69"/>
      <c r="I2865" s="69"/>
      <c r="J2865" s="69"/>
      <c r="K2865" s="69"/>
      <c r="L2865" s="69"/>
      <c r="M2865" s="69"/>
      <c r="N2865" s="69"/>
      <c r="O2865" s="69"/>
      <c r="P2865" s="69"/>
      <c r="Q2865" s="69"/>
      <c r="R2865" s="69"/>
      <c r="S2865" s="69"/>
      <c r="T2865" s="69"/>
      <c r="U2865" s="69"/>
      <c r="V2865" s="69"/>
      <c r="W2865" s="69"/>
    </row>
    <row r="2866" spans="7:23" x14ac:dyDescent="0.3">
      <c r="G2866" s="69"/>
      <c r="H2866" s="69"/>
      <c r="I2866" s="69"/>
      <c r="J2866" s="69"/>
      <c r="K2866" s="69"/>
      <c r="L2866" s="69"/>
      <c r="M2866" s="69"/>
      <c r="N2866" s="69"/>
      <c r="O2866" s="69"/>
      <c r="P2866" s="69"/>
      <c r="Q2866" s="69"/>
      <c r="R2866" s="69"/>
      <c r="S2866" s="69"/>
      <c r="T2866" s="69"/>
      <c r="U2866" s="69"/>
      <c r="V2866" s="69"/>
      <c r="W2866" s="69"/>
    </row>
    <row r="2867" spans="7:23" x14ac:dyDescent="0.3">
      <c r="G2867" s="69"/>
      <c r="H2867" s="69"/>
      <c r="I2867" s="69"/>
      <c r="J2867" s="69"/>
      <c r="K2867" s="69"/>
      <c r="L2867" s="69"/>
      <c r="M2867" s="69"/>
      <c r="N2867" s="69"/>
      <c r="O2867" s="69"/>
      <c r="P2867" s="69"/>
      <c r="Q2867" s="69"/>
      <c r="R2867" s="69"/>
      <c r="S2867" s="69"/>
      <c r="T2867" s="69"/>
      <c r="U2867" s="69"/>
      <c r="V2867" s="69"/>
      <c r="W2867" s="69"/>
    </row>
    <row r="2868" spans="7:23" x14ac:dyDescent="0.3">
      <c r="G2868" s="69"/>
      <c r="H2868" s="69"/>
      <c r="I2868" s="69"/>
      <c r="J2868" s="69"/>
      <c r="K2868" s="69"/>
      <c r="L2868" s="69"/>
      <c r="M2868" s="69"/>
      <c r="N2868" s="69"/>
      <c r="O2868" s="69"/>
      <c r="P2868" s="69"/>
      <c r="Q2868" s="69"/>
      <c r="R2868" s="69"/>
      <c r="S2868" s="69"/>
      <c r="T2868" s="69"/>
      <c r="U2868" s="69"/>
      <c r="V2868" s="69"/>
      <c r="W2868" s="69"/>
    </row>
    <row r="2869" spans="7:23" x14ac:dyDescent="0.3">
      <c r="G2869" s="69"/>
      <c r="H2869" s="69"/>
      <c r="I2869" s="69"/>
      <c r="J2869" s="69"/>
      <c r="K2869" s="69"/>
      <c r="L2869" s="69"/>
      <c r="M2869" s="69"/>
      <c r="N2869" s="69"/>
      <c r="O2869" s="69"/>
      <c r="P2869" s="69"/>
      <c r="Q2869" s="69"/>
      <c r="R2869" s="69"/>
      <c r="S2869" s="69"/>
      <c r="T2869" s="69"/>
      <c r="U2869" s="69"/>
      <c r="V2869" s="69"/>
      <c r="W2869" s="69"/>
    </row>
    <row r="2870" spans="7:23" x14ac:dyDescent="0.3">
      <c r="G2870" s="69"/>
      <c r="H2870" s="69"/>
      <c r="I2870" s="69"/>
      <c r="J2870" s="69"/>
      <c r="K2870" s="69"/>
      <c r="L2870" s="69"/>
      <c r="M2870" s="69"/>
      <c r="N2870" s="69"/>
      <c r="O2870" s="69"/>
      <c r="P2870" s="69"/>
      <c r="Q2870" s="69"/>
      <c r="R2870" s="69"/>
      <c r="S2870" s="69"/>
      <c r="T2870" s="69"/>
      <c r="U2870" s="69"/>
      <c r="V2870" s="69"/>
      <c r="W2870" s="69"/>
    </row>
    <row r="2871" spans="7:23" x14ac:dyDescent="0.3">
      <c r="G2871" s="69"/>
      <c r="H2871" s="69"/>
      <c r="I2871" s="69"/>
      <c r="J2871" s="69"/>
      <c r="K2871" s="69"/>
      <c r="L2871" s="69"/>
      <c r="M2871" s="69"/>
      <c r="N2871" s="69"/>
      <c r="O2871" s="69"/>
      <c r="P2871" s="69"/>
      <c r="Q2871" s="69"/>
      <c r="R2871" s="69"/>
      <c r="S2871" s="69"/>
      <c r="T2871" s="69"/>
      <c r="U2871" s="69"/>
      <c r="V2871" s="69"/>
      <c r="W2871" s="69"/>
    </row>
    <row r="2872" spans="7:23" x14ac:dyDescent="0.3">
      <c r="G2872" s="69"/>
      <c r="H2872" s="69"/>
      <c r="I2872" s="69"/>
      <c r="J2872" s="69"/>
      <c r="K2872" s="69"/>
      <c r="L2872" s="69"/>
      <c r="M2872" s="69"/>
      <c r="N2872" s="69"/>
      <c r="O2872" s="69"/>
      <c r="P2872" s="69"/>
      <c r="Q2872" s="69"/>
      <c r="R2872" s="69"/>
      <c r="S2872" s="69"/>
      <c r="T2872" s="69"/>
      <c r="U2872" s="69"/>
      <c r="V2872" s="69"/>
      <c r="W2872" s="69"/>
    </row>
    <row r="2873" spans="7:23" x14ac:dyDescent="0.3">
      <c r="G2873" s="69"/>
      <c r="H2873" s="69"/>
      <c r="I2873" s="69"/>
      <c r="J2873" s="69"/>
      <c r="K2873" s="69"/>
      <c r="L2873" s="69"/>
      <c r="M2873" s="69"/>
      <c r="N2873" s="69"/>
      <c r="O2873" s="69"/>
      <c r="P2873" s="69"/>
      <c r="Q2873" s="69"/>
      <c r="R2873" s="69"/>
      <c r="S2873" s="69"/>
      <c r="T2873" s="69"/>
      <c r="U2873" s="69"/>
      <c r="V2873" s="69"/>
      <c r="W2873" s="69"/>
    </row>
    <row r="2874" spans="7:23" x14ac:dyDescent="0.3">
      <c r="G2874" s="69"/>
      <c r="H2874" s="69"/>
      <c r="I2874" s="69"/>
      <c r="J2874" s="69"/>
      <c r="K2874" s="69"/>
      <c r="L2874" s="69"/>
      <c r="M2874" s="69"/>
      <c r="N2874" s="69"/>
      <c r="O2874" s="69"/>
      <c r="P2874" s="69"/>
      <c r="Q2874" s="69"/>
      <c r="R2874" s="69"/>
      <c r="S2874" s="69"/>
      <c r="T2874" s="69"/>
      <c r="U2874" s="69"/>
      <c r="V2874" s="69"/>
      <c r="W2874" s="69"/>
    </row>
    <row r="2875" spans="7:23" x14ac:dyDescent="0.3">
      <c r="G2875" s="69"/>
      <c r="H2875" s="69"/>
      <c r="I2875" s="69"/>
      <c r="J2875" s="69"/>
      <c r="K2875" s="69"/>
      <c r="L2875" s="69"/>
      <c r="M2875" s="69"/>
      <c r="N2875" s="69"/>
      <c r="O2875" s="69"/>
      <c r="P2875" s="69"/>
      <c r="Q2875" s="69"/>
      <c r="R2875" s="69"/>
      <c r="S2875" s="69"/>
      <c r="T2875" s="69"/>
      <c r="U2875" s="69"/>
      <c r="V2875" s="69"/>
      <c r="W2875" s="69"/>
    </row>
    <row r="2876" spans="7:23" x14ac:dyDescent="0.3">
      <c r="G2876" s="69"/>
      <c r="H2876" s="69"/>
      <c r="I2876" s="69"/>
      <c r="J2876" s="69"/>
      <c r="K2876" s="69"/>
      <c r="L2876" s="69"/>
      <c r="M2876" s="69"/>
      <c r="N2876" s="69"/>
      <c r="O2876" s="69"/>
      <c r="P2876" s="69"/>
      <c r="Q2876" s="69"/>
      <c r="R2876" s="69"/>
      <c r="S2876" s="69"/>
      <c r="T2876" s="69"/>
      <c r="U2876" s="69"/>
      <c r="V2876" s="69"/>
      <c r="W2876" s="69"/>
    </row>
    <row r="2877" spans="7:23" x14ac:dyDescent="0.3">
      <c r="G2877" s="69"/>
      <c r="H2877" s="69"/>
      <c r="I2877" s="69"/>
      <c r="J2877" s="69"/>
      <c r="K2877" s="69"/>
      <c r="L2877" s="69"/>
      <c r="M2877" s="69"/>
      <c r="N2877" s="69"/>
      <c r="O2877" s="69"/>
      <c r="P2877" s="69"/>
      <c r="Q2877" s="69"/>
      <c r="R2877" s="69"/>
      <c r="S2877" s="69"/>
      <c r="T2877" s="69"/>
      <c r="U2877" s="69"/>
      <c r="V2877" s="69"/>
      <c r="W2877" s="69"/>
    </row>
    <row r="2878" spans="7:23" x14ac:dyDescent="0.3">
      <c r="G2878" s="69"/>
      <c r="H2878" s="69"/>
      <c r="I2878" s="69"/>
      <c r="J2878" s="69"/>
      <c r="K2878" s="69"/>
      <c r="L2878" s="69"/>
      <c r="M2878" s="69"/>
      <c r="N2878" s="69"/>
      <c r="O2878" s="69"/>
      <c r="P2878" s="69"/>
      <c r="Q2878" s="69"/>
      <c r="R2878" s="69"/>
      <c r="S2878" s="69"/>
      <c r="T2878" s="69"/>
      <c r="U2878" s="69"/>
      <c r="V2878" s="69"/>
      <c r="W2878" s="69"/>
    </row>
    <row r="2879" spans="7:23" x14ac:dyDescent="0.3">
      <c r="G2879" s="69"/>
      <c r="H2879" s="69"/>
      <c r="I2879" s="69"/>
      <c r="J2879" s="69"/>
      <c r="K2879" s="69"/>
      <c r="L2879" s="69"/>
      <c r="M2879" s="69"/>
      <c r="N2879" s="69"/>
      <c r="O2879" s="69"/>
      <c r="P2879" s="69"/>
      <c r="Q2879" s="69"/>
      <c r="R2879" s="69"/>
      <c r="S2879" s="69"/>
      <c r="T2879" s="69"/>
      <c r="U2879" s="69"/>
      <c r="V2879" s="69"/>
      <c r="W2879" s="69"/>
    </row>
    <row r="2880" spans="7:23" x14ac:dyDescent="0.3">
      <c r="G2880" s="69"/>
      <c r="H2880" s="69"/>
      <c r="I2880" s="69"/>
      <c r="J2880" s="69"/>
      <c r="K2880" s="69"/>
      <c r="L2880" s="69"/>
      <c r="M2880" s="69"/>
      <c r="N2880" s="69"/>
      <c r="O2880" s="69"/>
      <c r="P2880" s="69"/>
      <c r="Q2880" s="69"/>
      <c r="R2880" s="69"/>
      <c r="S2880" s="69"/>
      <c r="T2880" s="69"/>
      <c r="U2880" s="69"/>
      <c r="V2880" s="69"/>
      <c r="W2880" s="69"/>
    </row>
    <row r="2881" spans="7:23" x14ac:dyDescent="0.3">
      <c r="G2881" s="69"/>
      <c r="H2881" s="69"/>
      <c r="I2881" s="69"/>
      <c r="J2881" s="69"/>
      <c r="K2881" s="69"/>
      <c r="L2881" s="69"/>
      <c r="M2881" s="69"/>
      <c r="N2881" s="69"/>
      <c r="O2881" s="69"/>
      <c r="P2881" s="69"/>
      <c r="Q2881" s="69"/>
      <c r="R2881" s="69"/>
      <c r="S2881" s="69"/>
      <c r="T2881" s="69"/>
      <c r="U2881" s="69"/>
      <c r="V2881" s="69"/>
      <c r="W2881" s="69"/>
    </row>
    <row r="2882" spans="7:23" x14ac:dyDescent="0.3">
      <c r="G2882" s="69"/>
      <c r="H2882" s="69"/>
      <c r="I2882" s="69"/>
      <c r="J2882" s="69"/>
      <c r="K2882" s="69"/>
      <c r="L2882" s="69"/>
      <c r="M2882" s="69"/>
      <c r="N2882" s="69"/>
      <c r="O2882" s="69"/>
      <c r="P2882" s="69"/>
      <c r="Q2882" s="69"/>
      <c r="R2882" s="69"/>
      <c r="S2882" s="69"/>
      <c r="T2882" s="69"/>
      <c r="U2882" s="69"/>
      <c r="V2882" s="69"/>
      <c r="W2882" s="69"/>
    </row>
    <row r="2883" spans="7:23" x14ac:dyDescent="0.3">
      <c r="G2883" s="69"/>
      <c r="H2883" s="69"/>
      <c r="I2883" s="69"/>
      <c r="J2883" s="69"/>
      <c r="K2883" s="69"/>
      <c r="L2883" s="69"/>
      <c r="M2883" s="69"/>
      <c r="N2883" s="69"/>
      <c r="O2883" s="69"/>
      <c r="P2883" s="69"/>
      <c r="Q2883" s="69"/>
      <c r="R2883" s="69"/>
      <c r="S2883" s="69"/>
      <c r="T2883" s="69"/>
      <c r="U2883" s="69"/>
      <c r="V2883" s="69"/>
      <c r="W2883" s="69"/>
    </row>
    <row r="2884" spans="7:23" x14ac:dyDescent="0.3">
      <c r="G2884" s="69"/>
      <c r="H2884" s="69"/>
      <c r="I2884" s="69"/>
      <c r="J2884" s="69"/>
      <c r="K2884" s="69"/>
      <c r="L2884" s="69"/>
      <c r="M2884" s="69"/>
      <c r="N2884" s="69"/>
      <c r="O2884" s="69"/>
      <c r="P2884" s="69"/>
      <c r="Q2884" s="69"/>
      <c r="R2884" s="69"/>
      <c r="S2884" s="69"/>
      <c r="T2884" s="69"/>
      <c r="U2884" s="69"/>
      <c r="V2884" s="69"/>
      <c r="W2884" s="69"/>
    </row>
    <row r="2885" spans="7:23" x14ac:dyDescent="0.3">
      <c r="G2885" s="69"/>
      <c r="H2885" s="69"/>
      <c r="I2885" s="69"/>
      <c r="J2885" s="69"/>
      <c r="K2885" s="69"/>
      <c r="L2885" s="69"/>
      <c r="M2885" s="69"/>
      <c r="N2885" s="69"/>
      <c r="O2885" s="69"/>
      <c r="P2885" s="69"/>
      <c r="Q2885" s="69"/>
      <c r="R2885" s="69"/>
      <c r="S2885" s="69"/>
      <c r="T2885" s="69"/>
      <c r="U2885" s="69"/>
      <c r="V2885" s="69"/>
      <c r="W2885" s="69"/>
    </row>
    <row r="2886" spans="7:23" x14ac:dyDescent="0.3">
      <c r="G2886" s="69"/>
      <c r="H2886" s="69"/>
      <c r="I2886" s="69"/>
      <c r="J2886" s="69"/>
      <c r="K2886" s="69"/>
      <c r="L2886" s="69"/>
      <c r="M2886" s="69"/>
      <c r="N2886" s="69"/>
      <c r="O2886" s="69"/>
      <c r="P2886" s="69"/>
      <c r="Q2886" s="69"/>
      <c r="R2886" s="69"/>
      <c r="S2886" s="69"/>
      <c r="T2886" s="69"/>
      <c r="U2886" s="69"/>
      <c r="V2886" s="69"/>
      <c r="W2886" s="69"/>
    </row>
    <row r="2887" spans="7:23" x14ac:dyDescent="0.3">
      <c r="G2887" s="69"/>
      <c r="H2887" s="69"/>
      <c r="I2887" s="69"/>
      <c r="J2887" s="69"/>
      <c r="K2887" s="69"/>
      <c r="L2887" s="69"/>
      <c r="M2887" s="69"/>
      <c r="N2887" s="69"/>
      <c r="O2887" s="69"/>
      <c r="P2887" s="69"/>
      <c r="Q2887" s="69"/>
      <c r="R2887" s="69"/>
      <c r="S2887" s="69"/>
      <c r="T2887" s="69"/>
      <c r="U2887" s="69"/>
      <c r="V2887" s="69"/>
      <c r="W2887" s="69"/>
    </row>
    <row r="2888" spans="7:23" x14ac:dyDescent="0.3">
      <c r="G2888" s="69"/>
      <c r="H2888" s="69"/>
      <c r="I2888" s="69"/>
      <c r="J2888" s="69"/>
      <c r="K2888" s="69"/>
      <c r="L2888" s="69"/>
      <c r="M2888" s="69"/>
      <c r="N2888" s="69"/>
      <c r="O2888" s="69"/>
      <c r="P2888" s="69"/>
      <c r="Q2888" s="69"/>
      <c r="R2888" s="69"/>
      <c r="S2888" s="69"/>
      <c r="T2888" s="69"/>
      <c r="U2888" s="69"/>
      <c r="V2888" s="69"/>
      <c r="W2888" s="69"/>
    </row>
    <row r="2889" spans="7:23" x14ac:dyDescent="0.3">
      <c r="G2889" s="69"/>
      <c r="H2889" s="69"/>
      <c r="I2889" s="69"/>
      <c r="J2889" s="69"/>
      <c r="K2889" s="69"/>
      <c r="L2889" s="69"/>
      <c r="M2889" s="69"/>
      <c r="N2889" s="69"/>
      <c r="O2889" s="69"/>
      <c r="P2889" s="69"/>
      <c r="Q2889" s="69"/>
      <c r="R2889" s="69"/>
      <c r="S2889" s="69"/>
      <c r="T2889" s="69"/>
      <c r="U2889" s="69"/>
      <c r="V2889" s="69"/>
      <c r="W2889" s="69"/>
    </row>
    <row r="2890" spans="7:23" x14ac:dyDescent="0.3">
      <c r="G2890" s="69"/>
      <c r="H2890" s="69"/>
      <c r="I2890" s="69"/>
      <c r="J2890" s="69"/>
      <c r="K2890" s="69"/>
      <c r="L2890" s="69"/>
      <c r="M2890" s="69"/>
      <c r="N2890" s="69"/>
      <c r="O2890" s="69"/>
      <c r="P2890" s="69"/>
      <c r="Q2890" s="69"/>
      <c r="R2890" s="69"/>
      <c r="S2890" s="69"/>
      <c r="T2890" s="69"/>
      <c r="U2890" s="69"/>
      <c r="V2890" s="69"/>
      <c r="W2890" s="69"/>
    </row>
    <row r="2891" spans="7:23" x14ac:dyDescent="0.3">
      <c r="G2891" s="69"/>
      <c r="H2891" s="69"/>
      <c r="I2891" s="69"/>
      <c r="J2891" s="69"/>
      <c r="K2891" s="69"/>
      <c r="L2891" s="69"/>
      <c r="M2891" s="69"/>
      <c r="N2891" s="69"/>
      <c r="O2891" s="69"/>
      <c r="P2891" s="69"/>
      <c r="Q2891" s="69"/>
      <c r="R2891" s="69"/>
      <c r="S2891" s="69"/>
      <c r="T2891" s="69"/>
      <c r="U2891" s="69"/>
      <c r="V2891" s="69"/>
      <c r="W2891" s="69"/>
    </row>
    <row r="2892" spans="7:23" x14ac:dyDescent="0.3">
      <c r="G2892" s="69"/>
      <c r="H2892" s="69"/>
      <c r="I2892" s="69"/>
      <c r="J2892" s="69"/>
      <c r="K2892" s="69"/>
      <c r="L2892" s="69"/>
      <c r="M2892" s="69"/>
      <c r="N2892" s="69"/>
      <c r="O2892" s="69"/>
      <c r="P2892" s="69"/>
      <c r="Q2892" s="69"/>
      <c r="R2892" s="69"/>
      <c r="S2892" s="69"/>
      <c r="T2892" s="69"/>
      <c r="U2892" s="69"/>
      <c r="V2892" s="69"/>
      <c r="W2892" s="69"/>
    </row>
    <row r="2893" spans="7:23" x14ac:dyDescent="0.3">
      <c r="G2893" s="69"/>
      <c r="H2893" s="69"/>
      <c r="I2893" s="69"/>
      <c r="J2893" s="69"/>
      <c r="K2893" s="69"/>
      <c r="L2893" s="69"/>
      <c r="M2893" s="69"/>
      <c r="N2893" s="69"/>
      <c r="O2893" s="69"/>
      <c r="P2893" s="69"/>
      <c r="Q2893" s="69"/>
      <c r="R2893" s="69"/>
      <c r="S2893" s="69"/>
      <c r="T2893" s="69"/>
      <c r="U2893" s="69"/>
      <c r="V2893" s="69"/>
      <c r="W2893" s="69"/>
    </row>
    <row r="2894" spans="7:23" x14ac:dyDescent="0.3">
      <c r="G2894" s="69"/>
      <c r="H2894" s="69"/>
      <c r="I2894" s="69"/>
      <c r="J2894" s="69"/>
      <c r="K2894" s="69"/>
      <c r="L2894" s="69"/>
      <c r="M2894" s="69"/>
      <c r="N2894" s="69"/>
      <c r="O2894" s="69"/>
      <c r="P2894" s="69"/>
      <c r="Q2894" s="69"/>
      <c r="R2894" s="69"/>
      <c r="S2894" s="69"/>
      <c r="T2894" s="69"/>
      <c r="U2894" s="69"/>
      <c r="V2894" s="69"/>
      <c r="W2894" s="69"/>
    </row>
    <row r="2895" spans="7:23" x14ac:dyDescent="0.3">
      <c r="G2895" s="69"/>
      <c r="H2895" s="69"/>
      <c r="I2895" s="69"/>
      <c r="J2895" s="69"/>
      <c r="K2895" s="69"/>
      <c r="L2895" s="69"/>
      <c r="M2895" s="69"/>
      <c r="N2895" s="69"/>
      <c r="O2895" s="69"/>
      <c r="P2895" s="69"/>
      <c r="Q2895" s="69"/>
      <c r="R2895" s="69"/>
      <c r="S2895" s="69"/>
      <c r="T2895" s="69"/>
      <c r="U2895" s="69"/>
      <c r="V2895" s="69"/>
      <c r="W2895" s="69"/>
    </row>
    <row r="2896" spans="7:23" x14ac:dyDescent="0.3">
      <c r="G2896" s="69"/>
      <c r="H2896" s="69"/>
      <c r="I2896" s="69"/>
      <c r="J2896" s="69"/>
      <c r="K2896" s="69"/>
      <c r="L2896" s="69"/>
      <c r="M2896" s="69"/>
      <c r="N2896" s="69"/>
      <c r="O2896" s="69"/>
      <c r="P2896" s="69"/>
      <c r="Q2896" s="69"/>
      <c r="R2896" s="69"/>
      <c r="S2896" s="69"/>
      <c r="T2896" s="69"/>
      <c r="U2896" s="69"/>
      <c r="V2896" s="69"/>
      <c r="W2896" s="69"/>
    </row>
    <row r="2897" spans="1:23" x14ac:dyDescent="0.3">
      <c r="G2897" s="69"/>
      <c r="H2897" s="69"/>
      <c r="I2897" s="69"/>
      <c r="J2897" s="69"/>
      <c r="K2897" s="69"/>
      <c r="L2897" s="69"/>
      <c r="M2897" s="69"/>
      <c r="N2897" s="69"/>
      <c r="O2897" s="69"/>
      <c r="P2897" s="69"/>
      <c r="Q2897" s="69"/>
      <c r="R2897" s="69"/>
      <c r="S2897" s="69"/>
      <c r="T2897" s="69"/>
      <c r="U2897" s="69"/>
      <c r="V2897" s="69"/>
      <c r="W2897" s="69"/>
    </row>
    <row r="2898" spans="1:23" x14ac:dyDescent="0.3">
      <c r="G2898" s="69"/>
      <c r="H2898" s="69"/>
      <c r="I2898" s="69"/>
      <c r="J2898" s="69"/>
      <c r="K2898" s="69"/>
      <c r="L2898" s="69"/>
      <c r="M2898" s="69"/>
      <c r="N2898" s="69"/>
      <c r="O2898" s="69"/>
      <c r="P2898" s="69"/>
      <c r="Q2898" s="69"/>
      <c r="R2898" s="69"/>
      <c r="S2898" s="69"/>
      <c r="T2898" s="69"/>
      <c r="U2898" s="69"/>
      <c r="V2898" s="69"/>
      <c r="W2898" s="69"/>
    </row>
    <row r="2899" spans="1:23" x14ac:dyDescent="0.3">
      <c r="G2899" s="69"/>
      <c r="H2899" s="69"/>
      <c r="I2899" s="69"/>
      <c r="J2899" s="69"/>
      <c r="K2899" s="69"/>
      <c r="L2899" s="69"/>
      <c r="M2899" s="69"/>
      <c r="N2899" s="69"/>
      <c r="O2899" s="69"/>
      <c r="P2899" s="69"/>
      <c r="Q2899" s="69"/>
      <c r="R2899" s="69"/>
      <c r="S2899" s="69"/>
      <c r="T2899" s="69"/>
      <c r="U2899" s="69"/>
      <c r="V2899" s="69"/>
      <c r="W2899" s="69"/>
    </row>
    <row r="2900" spans="1:23" ht="21" x14ac:dyDescent="0.4">
      <c r="A2900" s="48"/>
      <c r="G2900" s="69"/>
      <c r="H2900" s="69"/>
      <c r="I2900" s="69"/>
      <c r="J2900" s="69"/>
      <c r="K2900" s="69"/>
      <c r="L2900" s="69"/>
      <c r="M2900" s="69"/>
      <c r="N2900" s="69"/>
      <c r="O2900" s="69"/>
      <c r="P2900" s="69"/>
      <c r="Q2900" s="69"/>
      <c r="R2900" s="69"/>
      <c r="S2900" s="69"/>
      <c r="T2900" s="69"/>
      <c r="U2900" s="69"/>
      <c r="V2900" s="69"/>
      <c r="W2900" s="69"/>
    </row>
    <row r="2901" spans="1:23" x14ac:dyDescent="0.3">
      <c r="G2901" s="69"/>
      <c r="H2901" s="69"/>
      <c r="I2901" s="69"/>
      <c r="J2901" s="69"/>
      <c r="K2901" s="69"/>
      <c r="L2901" s="69"/>
      <c r="M2901" s="69"/>
      <c r="N2901" s="69"/>
      <c r="O2901" s="69"/>
      <c r="P2901" s="69"/>
      <c r="Q2901" s="69"/>
      <c r="R2901" s="69"/>
      <c r="S2901" s="69"/>
      <c r="T2901" s="69"/>
      <c r="U2901" s="69"/>
      <c r="V2901" s="69"/>
      <c r="W2901" s="69"/>
    </row>
    <row r="2902" spans="1:23" x14ac:dyDescent="0.3">
      <c r="G2902" s="69"/>
      <c r="H2902" s="69"/>
      <c r="I2902" s="69"/>
      <c r="J2902" s="69"/>
      <c r="K2902" s="69"/>
      <c r="L2902" s="69"/>
      <c r="M2902" s="69"/>
      <c r="N2902" s="69"/>
      <c r="O2902" s="69"/>
      <c r="P2902" s="69"/>
      <c r="Q2902" s="69"/>
      <c r="R2902" s="69"/>
      <c r="S2902" s="69"/>
      <c r="T2902" s="69"/>
      <c r="U2902" s="69"/>
      <c r="V2902" s="69"/>
      <c r="W2902" s="69"/>
    </row>
    <row r="2903" spans="1:23" x14ac:dyDescent="0.3">
      <c r="G2903" s="69"/>
      <c r="H2903" s="69"/>
      <c r="I2903" s="69"/>
      <c r="J2903" s="69"/>
      <c r="K2903" s="69"/>
      <c r="L2903" s="69"/>
      <c r="M2903" s="69"/>
      <c r="N2903" s="69"/>
      <c r="O2903" s="69"/>
      <c r="P2903" s="69"/>
      <c r="Q2903" s="69"/>
      <c r="R2903" s="69"/>
      <c r="S2903" s="69"/>
      <c r="T2903" s="69"/>
      <c r="U2903" s="69"/>
      <c r="V2903" s="69"/>
      <c r="W2903" s="69"/>
    </row>
    <row r="2904" spans="1:23" x14ac:dyDescent="0.3">
      <c r="G2904" s="69"/>
      <c r="H2904" s="69"/>
      <c r="I2904" s="69"/>
      <c r="J2904" s="69"/>
      <c r="K2904" s="69"/>
      <c r="L2904" s="69"/>
      <c r="M2904" s="69"/>
      <c r="N2904" s="69"/>
      <c r="O2904" s="69"/>
      <c r="P2904" s="69"/>
      <c r="Q2904" s="69"/>
      <c r="R2904" s="69"/>
      <c r="S2904" s="69"/>
      <c r="T2904" s="69"/>
      <c r="U2904" s="69"/>
      <c r="V2904" s="69"/>
      <c r="W2904" s="69"/>
    </row>
    <row r="2905" spans="1:23" x14ac:dyDescent="0.3">
      <c r="G2905" s="69"/>
      <c r="H2905" s="69"/>
      <c r="I2905" s="69"/>
      <c r="J2905" s="69"/>
      <c r="K2905" s="69"/>
      <c r="L2905" s="69"/>
      <c r="M2905" s="69"/>
      <c r="N2905" s="69"/>
      <c r="O2905" s="69"/>
      <c r="P2905" s="69"/>
      <c r="Q2905" s="69"/>
      <c r="R2905" s="69"/>
      <c r="S2905" s="69"/>
      <c r="T2905" s="69"/>
      <c r="U2905" s="69"/>
      <c r="V2905" s="69"/>
      <c r="W2905" s="69"/>
    </row>
    <row r="2906" spans="1:23" x14ac:dyDescent="0.3">
      <c r="G2906" s="69"/>
      <c r="H2906" s="69"/>
      <c r="I2906" s="69"/>
      <c r="J2906" s="69"/>
      <c r="K2906" s="69"/>
      <c r="L2906" s="69"/>
      <c r="M2906" s="69"/>
      <c r="N2906" s="69"/>
      <c r="O2906" s="69"/>
      <c r="P2906" s="69"/>
      <c r="Q2906" s="69"/>
      <c r="R2906" s="69"/>
      <c r="S2906" s="69"/>
      <c r="T2906" s="69"/>
      <c r="U2906" s="69"/>
      <c r="V2906" s="69"/>
      <c r="W2906" s="69"/>
    </row>
    <row r="2907" spans="1:23" x14ac:dyDescent="0.3">
      <c r="G2907" s="69"/>
      <c r="H2907" s="69"/>
      <c r="I2907" s="69"/>
      <c r="J2907" s="69"/>
      <c r="K2907" s="69"/>
      <c r="L2907" s="69"/>
      <c r="M2907" s="69"/>
      <c r="N2907" s="69"/>
      <c r="O2907" s="69"/>
      <c r="P2907" s="69"/>
      <c r="Q2907" s="69"/>
      <c r="R2907" s="69"/>
      <c r="S2907" s="69"/>
      <c r="T2907" s="69"/>
      <c r="U2907" s="69"/>
      <c r="V2907" s="69"/>
      <c r="W2907" s="69"/>
    </row>
    <row r="2908" spans="1:23" x14ac:dyDescent="0.3">
      <c r="G2908" s="69"/>
      <c r="H2908" s="69"/>
      <c r="I2908" s="69"/>
      <c r="J2908" s="69"/>
      <c r="K2908" s="69"/>
      <c r="L2908" s="69"/>
      <c r="M2908" s="69"/>
      <c r="N2908" s="69"/>
      <c r="O2908" s="69"/>
      <c r="P2908" s="69"/>
      <c r="Q2908" s="69"/>
      <c r="R2908" s="69"/>
      <c r="S2908" s="69"/>
      <c r="T2908" s="69"/>
      <c r="U2908" s="69"/>
      <c r="V2908" s="69"/>
      <c r="W2908" s="69"/>
    </row>
    <row r="2909" spans="1:23" x14ac:dyDescent="0.3">
      <c r="G2909" s="69"/>
      <c r="H2909" s="69"/>
      <c r="I2909" s="69"/>
      <c r="J2909" s="69"/>
      <c r="K2909" s="69"/>
      <c r="L2909" s="69"/>
      <c r="M2909" s="69"/>
      <c r="N2909" s="69"/>
      <c r="O2909" s="69"/>
      <c r="P2909" s="69"/>
      <c r="Q2909" s="69"/>
      <c r="R2909" s="69"/>
      <c r="S2909" s="69"/>
      <c r="T2909" s="69"/>
      <c r="U2909" s="69"/>
      <c r="V2909" s="69"/>
      <c r="W2909" s="69"/>
    </row>
    <row r="2910" spans="1:23" x14ac:dyDescent="0.3">
      <c r="G2910" s="69"/>
      <c r="H2910" s="69"/>
      <c r="I2910" s="69"/>
      <c r="J2910" s="69"/>
      <c r="K2910" s="69"/>
      <c r="L2910" s="69"/>
      <c r="M2910" s="69"/>
      <c r="N2910" s="69"/>
      <c r="O2910" s="69"/>
      <c r="P2910" s="69"/>
      <c r="Q2910" s="69"/>
      <c r="R2910" s="69"/>
      <c r="S2910" s="69"/>
      <c r="T2910" s="69"/>
      <c r="U2910" s="69"/>
      <c r="V2910" s="69"/>
      <c r="W2910" s="69"/>
    </row>
    <row r="2911" spans="1:23" x14ac:dyDescent="0.3">
      <c r="G2911" s="69"/>
      <c r="H2911" s="69"/>
      <c r="I2911" s="69"/>
      <c r="J2911" s="69"/>
      <c r="K2911" s="69"/>
      <c r="L2911" s="69"/>
      <c r="M2911" s="69"/>
      <c r="N2911" s="69"/>
      <c r="O2911" s="69"/>
      <c r="P2911" s="69"/>
      <c r="Q2911" s="69"/>
      <c r="R2911" s="69"/>
      <c r="S2911" s="69"/>
      <c r="T2911" s="69"/>
      <c r="U2911" s="69"/>
      <c r="V2911" s="69"/>
      <c r="W2911" s="69"/>
    </row>
    <row r="2912" spans="1:23" x14ac:dyDescent="0.3">
      <c r="G2912" s="69"/>
      <c r="H2912" s="69"/>
      <c r="I2912" s="69"/>
      <c r="J2912" s="69"/>
      <c r="K2912" s="69"/>
      <c r="L2912" s="69"/>
      <c r="M2912" s="69"/>
      <c r="N2912" s="69"/>
      <c r="O2912" s="69"/>
      <c r="P2912" s="69"/>
      <c r="Q2912" s="69"/>
      <c r="R2912" s="69"/>
      <c r="S2912" s="69"/>
      <c r="T2912" s="69"/>
      <c r="U2912" s="69"/>
      <c r="V2912" s="69"/>
      <c r="W2912" s="69"/>
    </row>
    <row r="2913" spans="7:23" x14ac:dyDescent="0.3">
      <c r="G2913" s="69"/>
      <c r="H2913" s="69"/>
      <c r="I2913" s="69"/>
      <c r="J2913" s="69"/>
      <c r="K2913" s="69"/>
      <c r="L2913" s="69"/>
      <c r="M2913" s="69"/>
      <c r="N2913" s="69"/>
      <c r="O2913" s="69"/>
      <c r="P2913" s="69"/>
      <c r="Q2913" s="69"/>
      <c r="R2913" s="69"/>
      <c r="S2913" s="69"/>
      <c r="T2913" s="69"/>
      <c r="U2913" s="69"/>
      <c r="V2913" s="69"/>
      <c r="W2913" s="69"/>
    </row>
    <row r="2914" spans="7:23" x14ac:dyDescent="0.3">
      <c r="G2914" s="69"/>
      <c r="H2914" s="69"/>
      <c r="I2914" s="69"/>
      <c r="J2914" s="69"/>
      <c r="K2914" s="69"/>
      <c r="L2914" s="69"/>
      <c r="M2914" s="69"/>
      <c r="N2914" s="69"/>
      <c r="O2914" s="69"/>
      <c r="P2914" s="69"/>
      <c r="Q2914" s="69"/>
      <c r="R2914" s="69"/>
      <c r="S2914" s="69"/>
      <c r="T2914" s="69"/>
      <c r="U2914" s="69"/>
      <c r="V2914" s="69"/>
      <c r="W2914" s="69"/>
    </row>
    <row r="2915" spans="7:23" x14ac:dyDescent="0.3">
      <c r="G2915" s="69"/>
      <c r="H2915" s="69"/>
      <c r="I2915" s="69"/>
      <c r="J2915" s="69"/>
      <c r="K2915" s="69"/>
      <c r="L2915" s="69"/>
      <c r="M2915" s="69"/>
      <c r="N2915" s="69"/>
      <c r="O2915" s="69"/>
      <c r="P2915" s="69"/>
      <c r="Q2915" s="69"/>
      <c r="R2915" s="69"/>
      <c r="S2915" s="69"/>
      <c r="T2915" s="69"/>
      <c r="U2915" s="69"/>
      <c r="V2915" s="69"/>
      <c r="W2915" s="69"/>
    </row>
    <row r="2916" spans="7:23" x14ac:dyDescent="0.3">
      <c r="G2916" s="69"/>
      <c r="H2916" s="69"/>
      <c r="I2916" s="69"/>
      <c r="J2916" s="69"/>
      <c r="K2916" s="69"/>
      <c r="L2916" s="69"/>
      <c r="M2916" s="69"/>
      <c r="N2916" s="69"/>
      <c r="O2916" s="69"/>
      <c r="P2916" s="69"/>
      <c r="Q2916" s="69"/>
      <c r="R2916" s="69"/>
      <c r="S2916" s="69"/>
      <c r="T2916" s="69"/>
      <c r="U2916" s="69"/>
      <c r="V2916" s="69"/>
      <c r="W2916" s="69"/>
    </row>
    <row r="2917" spans="7:23" x14ac:dyDescent="0.3">
      <c r="G2917" s="69"/>
      <c r="H2917" s="69"/>
      <c r="I2917" s="69"/>
      <c r="J2917" s="69"/>
      <c r="K2917" s="69"/>
      <c r="L2917" s="69"/>
      <c r="M2917" s="69"/>
      <c r="N2917" s="69"/>
      <c r="O2917" s="69"/>
      <c r="P2917" s="69"/>
      <c r="Q2917" s="69"/>
      <c r="R2917" s="69"/>
      <c r="S2917" s="69"/>
      <c r="T2917" s="69"/>
      <c r="U2917" s="69"/>
      <c r="V2917" s="69"/>
      <c r="W2917" s="69"/>
    </row>
    <row r="2918" spans="7:23" x14ac:dyDescent="0.3">
      <c r="G2918" s="69"/>
      <c r="H2918" s="69"/>
      <c r="I2918" s="69"/>
      <c r="J2918" s="69"/>
      <c r="K2918" s="69"/>
      <c r="L2918" s="69"/>
      <c r="M2918" s="69"/>
      <c r="N2918" s="69"/>
      <c r="O2918" s="69"/>
      <c r="P2918" s="69"/>
      <c r="Q2918" s="69"/>
      <c r="R2918" s="69"/>
      <c r="S2918" s="69"/>
      <c r="T2918" s="69"/>
      <c r="U2918" s="69"/>
      <c r="V2918" s="69"/>
      <c r="W2918" s="69"/>
    </row>
    <row r="2919" spans="7:23" x14ac:dyDescent="0.3">
      <c r="G2919" s="69"/>
      <c r="H2919" s="69"/>
      <c r="I2919" s="69"/>
      <c r="J2919" s="69"/>
      <c r="K2919" s="69"/>
      <c r="L2919" s="69"/>
      <c r="M2919" s="69"/>
      <c r="N2919" s="69"/>
      <c r="O2919" s="69"/>
      <c r="P2919" s="69"/>
      <c r="Q2919" s="69"/>
      <c r="R2919" s="69"/>
      <c r="S2919" s="69"/>
      <c r="T2919" s="69"/>
      <c r="U2919" s="69"/>
      <c r="V2919" s="69"/>
      <c r="W2919" s="69"/>
    </row>
    <row r="2920" spans="7:23" x14ac:dyDescent="0.3">
      <c r="G2920" s="69"/>
      <c r="H2920" s="69"/>
      <c r="I2920" s="69"/>
      <c r="J2920" s="69"/>
      <c r="K2920" s="69"/>
      <c r="L2920" s="69"/>
      <c r="M2920" s="69"/>
      <c r="N2920" s="69"/>
      <c r="O2920" s="69"/>
      <c r="P2920" s="69"/>
      <c r="Q2920" s="69"/>
      <c r="R2920" s="69"/>
      <c r="S2920" s="69"/>
      <c r="T2920" s="69"/>
      <c r="U2920" s="69"/>
      <c r="V2920" s="69"/>
      <c r="W2920" s="69"/>
    </row>
    <row r="2921" spans="7:23" x14ac:dyDescent="0.3">
      <c r="G2921" s="69"/>
      <c r="H2921" s="69"/>
      <c r="I2921" s="69"/>
      <c r="J2921" s="69"/>
      <c r="K2921" s="69"/>
      <c r="L2921" s="69"/>
      <c r="M2921" s="69"/>
      <c r="N2921" s="69"/>
      <c r="O2921" s="69"/>
      <c r="P2921" s="69"/>
      <c r="Q2921" s="69"/>
      <c r="R2921" s="69"/>
      <c r="S2921" s="69"/>
      <c r="T2921" s="69"/>
      <c r="U2921" s="69"/>
      <c r="V2921" s="69"/>
      <c r="W2921" s="69"/>
    </row>
    <row r="2922" spans="7:23" x14ac:dyDescent="0.3">
      <c r="G2922" s="69"/>
      <c r="H2922" s="69"/>
      <c r="I2922" s="69"/>
      <c r="J2922" s="69"/>
      <c r="K2922" s="69"/>
      <c r="L2922" s="69"/>
      <c r="M2922" s="69"/>
      <c r="N2922" s="69"/>
      <c r="O2922" s="69"/>
      <c r="P2922" s="69"/>
      <c r="Q2922" s="69"/>
      <c r="R2922" s="69"/>
      <c r="S2922" s="69"/>
      <c r="T2922" s="69"/>
      <c r="U2922" s="69"/>
      <c r="V2922" s="69"/>
      <c r="W2922" s="69"/>
    </row>
    <row r="2923" spans="7:23" x14ac:dyDescent="0.3">
      <c r="G2923" s="69"/>
      <c r="H2923" s="69"/>
      <c r="I2923" s="69"/>
      <c r="J2923" s="69"/>
      <c r="K2923" s="69"/>
      <c r="L2923" s="69"/>
      <c r="M2923" s="69"/>
      <c r="N2923" s="69"/>
      <c r="O2923" s="69"/>
      <c r="P2923" s="69"/>
      <c r="Q2923" s="69"/>
      <c r="R2923" s="69"/>
      <c r="S2923" s="69"/>
      <c r="T2923" s="69"/>
      <c r="U2923" s="69"/>
      <c r="V2923" s="69"/>
      <c r="W2923" s="69"/>
    </row>
    <row r="2924" spans="7:23" x14ac:dyDescent="0.3">
      <c r="G2924" s="69"/>
      <c r="H2924" s="69"/>
      <c r="I2924" s="69"/>
      <c r="J2924" s="69"/>
      <c r="K2924" s="69"/>
      <c r="L2924" s="69"/>
      <c r="M2924" s="69"/>
      <c r="N2924" s="69"/>
      <c r="O2924" s="69"/>
      <c r="P2924" s="69"/>
      <c r="Q2924" s="69"/>
      <c r="R2924" s="69"/>
      <c r="S2924" s="69"/>
      <c r="T2924" s="69"/>
      <c r="U2924" s="69"/>
      <c r="V2924" s="69"/>
      <c r="W2924" s="69"/>
    </row>
    <row r="2925" spans="7:23" x14ac:dyDescent="0.3">
      <c r="G2925" s="69"/>
      <c r="H2925" s="69"/>
      <c r="I2925" s="69"/>
      <c r="J2925" s="69"/>
      <c r="K2925" s="69"/>
      <c r="L2925" s="69"/>
      <c r="M2925" s="69"/>
      <c r="N2925" s="69"/>
      <c r="O2925" s="69"/>
      <c r="P2925" s="69"/>
      <c r="Q2925" s="69"/>
      <c r="R2925" s="69"/>
      <c r="S2925" s="69"/>
      <c r="T2925" s="69"/>
      <c r="U2925" s="69"/>
      <c r="V2925" s="69"/>
      <c r="W2925" s="69"/>
    </row>
    <row r="2926" spans="7:23" x14ac:dyDescent="0.3">
      <c r="G2926" s="69"/>
      <c r="H2926" s="69"/>
      <c r="I2926" s="69"/>
      <c r="J2926" s="69"/>
      <c r="K2926" s="69"/>
      <c r="L2926" s="69"/>
      <c r="M2926" s="69"/>
      <c r="N2926" s="69"/>
      <c r="O2926" s="69"/>
      <c r="P2926" s="69"/>
      <c r="Q2926" s="69"/>
      <c r="R2926" s="69"/>
      <c r="S2926" s="69"/>
      <c r="T2926" s="69"/>
      <c r="U2926" s="69"/>
      <c r="V2926" s="69"/>
      <c r="W2926" s="69"/>
    </row>
    <row r="2927" spans="7:23" x14ac:dyDescent="0.3">
      <c r="G2927" s="69"/>
      <c r="H2927" s="69"/>
      <c r="I2927" s="69"/>
      <c r="J2927" s="69"/>
      <c r="K2927" s="69"/>
      <c r="L2927" s="69"/>
      <c r="M2927" s="69"/>
      <c r="N2927" s="69"/>
      <c r="O2927" s="69"/>
      <c r="P2927" s="69"/>
      <c r="Q2927" s="69"/>
      <c r="R2927" s="69"/>
      <c r="S2927" s="69"/>
      <c r="T2927" s="69"/>
      <c r="U2927" s="69"/>
      <c r="V2927" s="69"/>
      <c r="W2927" s="69"/>
    </row>
    <row r="2928" spans="7:23" x14ac:dyDescent="0.3">
      <c r="G2928" s="69"/>
      <c r="H2928" s="69"/>
      <c r="I2928" s="69"/>
      <c r="J2928" s="69"/>
      <c r="K2928" s="69"/>
      <c r="L2928" s="69"/>
      <c r="M2928" s="69"/>
      <c r="N2928" s="69"/>
      <c r="O2928" s="69"/>
      <c r="P2928" s="69"/>
      <c r="Q2928" s="69"/>
      <c r="R2928" s="69"/>
      <c r="S2928" s="69"/>
      <c r="T2928" s="69"/>
      <c r="U2928" s="69"/>
      <c r="V2928" s="69"/>
      <c r="W2928" s="69"/>
    </row>
    <row r="2929" spans="7:23" x14ac:dyDescent="0.3">
      <c r="G2929" s="69"/>
      <c r="H2929" s="69"/>
      <c r="I2929" s="69"/>
      <c r="J2929" s="69"/>
      <c r="K2929" s="69"/>
      <c r="L2929" s="69"/>
      <c r="M2929" s="69"/>
      <c r="N2929" s="69"/>
      <c r="O2929" s="69"/>
      <c r="P2929" s="69"/>
      <c r="Q2929" s="69"/>
      <c r="R2929" s="69"/>
      <c r="S2929" s="69"/>
      <c r="T2929" s="69"/>
      <c r="U2929" s="69"/>
      <c r="V2929" s="69"/>
      <c r="W2929" s="69"/>
    </row>
    <row r="2930" spans="7:23" x14ac:dyDescent="0.3">
      <c r="G2930" s="69"/>
      <c r="H2930" s="69"/>
      <c r="I2930" s="69"/>
      <c r="J2930" s="69"/>
      <c r="K2930" s="69"/>
      <c r="L2930" s="69"/>
      <c r="M2930" s="69"/>
      <c r="N2930" s="69"/>
      <c r="O2930" s="69"/>
      <c r="P2930" s="69"/>
      <c r="Q2930" s="69"/>
      <c r="R2930" s="69"/>
      <c r="S2930" s="69"/>
      <c r="T2930" s="69"/>
      <c r="U2930" s="69"/>
      <c r="V2930" s="69"/>
      <c r="W2930" s="69"/>
    </row>
    <row r="2931" spans="7:23" x14ac:dyDescent="0.3">
      <c r="G2931" s="69"/>
      <c r="H2931" s="69"/>
      <c r="I2931" s="69"/>
      <c r="J2931" s="69"/>
      <c r="K2931" s="69"/>
      <c r="L2931" s="69"/>
      <c r="M2931" s="69"/>
      <c r="N2931" s="69"/>
      <c r="O2931" s="69"/>
      <c r="P2931" s="69"/>
      <c r="Q2931" s="69"/>
      <c r="R2931" s="69"/>
      <c r="S2931" s="69"/>
      <c r="T2931" s="69"/>
      <c r="U2931" s="69"/>
      <c r="V2931" s="69"/>
      <c r="W2931" s="69"/>
    </row>
    <row r="2932" spans="7:23" x14ac:dyDescent="0.3">
      <c r="G2932" s="69"/>
      <c r="H2932" s="69"/>
      <c r="I2932" s="69"/>
      <c r="J2932" s="69"/>
      <c r="K2932" s="69"/>
      <c r="L2932" s="69"/>
      <c r="M2932" s="69"/>
      <c r="N2932" s="69"/>
      <c r="O2932" s="69"/>
      <c r="P2932" s="69"/>
      <c r="Q2932" s="69"/>
      <c r="R2932" s="69"/>
      <c r="S2932" s="69"/>
      <c r="T2932" s="69"/>
      <c r="U2932" s="69"/>
      <c r="V2932" s="69"/>
      <c r="W2932" s="69"/>
    </row>
    <row r="2933" spans="7:23" x14ac:dyDescent="0.3">
      <c r="G2933" s="69"/>
      <c r="H2933" s="69"/>
      <c r="I2933" s="69"/>
      <c r="J2933" s="69"/>
      <c r="K2933" s="69"/>
      <c r="L2933" s="69"/>
      <c r="M2933" s="69"/>
      <c r="N2933" s="69"/>
      <c r="O2933" s="69"/>
      <c r="P2933" s="69"/>
      <c r="Q2933" s="69"/>
      <c r="R2933" s="69"/>
      <c r="S2933" s="69"/>
      <c r="T2933" s="69"/>
      <c r="U2933" s="69"/>
      <c r="V2933" s="69"/>
      <c r="W2933" s="69"/>
    </row>
    <row r="2934" spans="7:23" x14ac:dyDescent="0.3">
      <c r="G2934" s="69"/>
      <c r="H2934" s="69"/>
      <c r="I2934" s="69"/>
      <c r="J2934" s="69"/>
      <c r="K2934" s="69"/>
      <c r="L2934" s="69"/>
      <c r="M2934" s="69"/>
      <c r="N2934" s="69"/>
      <c r="O2934" s="69"/>
      <c r="P2934" s="69"/>
      <c r="Q2934" s="69"/>
      <c r="R2934" s="69"/>
      <c r="S2934" s="69"/>
      <c r="T2934" s="69"/>
      <c r="U2934" s="69"/>
      <c r="V2934" s="69"/>
      <c r="W2934" s="69"/>
    </row>
    <row r="2935" spans="7:23" x14ac:dyDescent="0.3">
      <c r="G2935" s="69"/>
      <c r="H2935" s="69"/>
      <c r="I2935" s="69"/>
      <c r="J2935" s="69"/>
      <c r="K2935" s="69"/>
      <c r="L2935" s="69"/>
      <c r="M2935" s="69"/>
      <c r="N2935" s="69"/>
      <c r="O2935" s="69"/>
      <c r="P2935" s="69"/>
      <c r="Q2935" s="69"/>
      <c r="R2935" s="69"/>
      <c r="S2935" s="69"/>
      <c r="T2935" s="69"/>
      <c r="U2935" s="69"/>
      <c r="V2935" s="69"/>
      <c r="W2935" s="69"/>
    </row>
    <row r="2936" spans="7:23" x14ac:dyDescent="0.3">
      <c r="G2936" s="69"/>
      <c r="H2936" s="69"/>
      <c r="I2936" s="69"/>
      <c r="J2936" s="69"/>
      <c r="K2936" s="69"/>
      <c r="L2936" s="69"/>
      <c r="M2936" s="69"/>
      <c r="N2936" s="69"/>
      <c r="O2936" s="69"/>
      <c r="P2936" s="69"/>
      <c r="Q2936" s="69"/>
      <c r="R2936" s="69"/>
      <c r="S2936" s="69"/>
      <c r="T2936" s="69"/>
      <c r="U2936" s="69"/>
      <c r="V2936" s="69"/>
      <c r="W2936" s="69"/>
    </row>
    <row r="2937" spans="7:23" x14ac:dyDescent="0.3">
      <c r="G2937" s="69"/>
      <c r="H2937" s="69"/>
      <c r="I2937" s="69"/>
      <c r="J2937" s="69"/>
      <c r="K2937" s="69"/>
      <c r="L2937" s="69"/>
      <c r="M2937" s="69"/>
      <c r="N2937" s="69"/>
      <c r="O2937" s="69"/>
      <c r="P2937" s="69"/>
      <c r="Q2937" s="69"/>
      <c r="R2937" s="69"/>
      <c r="S2937" s="69"/>
      <c r="T2937" s="69"/>
      <c r="U2937" s="69"/>
      <c r="V2937" s="69"/>
      <c r="W2937" s="69"/>
    </row>
    <row r="2938" spans="7:23" x14ac:dyDescent="0.3">
      <c r="G2938" s="69"/>
      <c r="H2938" s="69"/>
      <c r="I2938" s="69"/>
      <c r="J2938" s="69"/>
      <c r="K2938" s="69"/>
      <c r="L2938" s="69"/>
      <c r="M2938" s="69"/>
      <c r="N2938" s="69"/>
      <c r="O2938" s="69"/>
      <c r="P2938" s="69"/>
      <c r="Q2938" s="69"/>
      <c r="R2938" s="69"/>
      <c r="S2938" s="69"/>
      <c r="T2938" s="69"/>
      <c r="U2938" s="69"/>
      <c r="V2938" s="69"/>
      <c r="W2938" s="69"/>
    </row>
    <row r="2939" spans="7:23" x14ac:dyDescent="0.3">
      <c r="G2939" s="69"/>
      <c r="H2939" s="69"/>
      <c r="I2939" s="69"/>
      <c r="J2939" s="69"/>
      <c r="K2939" s="69"/>
      <c r="L2939" s="69"/>
      <c r="M2939" s="69"/>
      <c r="N2939" s="69"/>
      <c r="O2939" s="69"/>
      <c r="P2939" s="69"/>
      <c r="Q2939" s="69"/>
      <c r="R2939" s="69"/>
      <c r="S2939" s="69"/>
      <c r="T2939" s="69"/>
      <c r="U2939" s="69"/>
      <c r="V2939" s="69"/>
      <c r="W2939" s="69"/>
    </row>
    <row r="2940" spans="7:23" x14ac:dyDescent="0.3">
      <c r="G2940" s="69"/>
      <c r="H2940" s="69"/>
      <c r="I2940" s="69"/>
      <c r="J2940" s="69"/>
      <c r="K2940" s="69"/>
      <c r="L2940" s="69"/>
      <c r="M2940" s="69"/>
      <c r="N2940" s="69"/>
      <c r="O2940" s="69"/>
      <c r="P2940" s="69"/>
      <c r="Q2940" s="69"/>
      <c r="R2940" s="69"/>
      <c r="S2940" s="69"/>
      <c r="T2940" s="69"/>
      <c r="U2940" s="69"/>
      <c r="V2940" s="69"/>
      <c r="W2940" s="69"/>
    </row>
    <row r="2941" spans="7:23" x14ac:dyDescent="0.3">
      <c r="G2941" s="69"/>
      <c r="H2941" s="69"/>
      <c r="I2941" s="69"/>
      <c r="J2941" s="69"/>
      <c r="K2941" s="69"/>
      <c r="L2941" s="69"/>
      <c r="M2941" s="69"/>
      <c r="N2941" s="69"/>
      <c r="O2941" s="69"/>
      <c r="P2941" s="69"/>
      <c r="Q2941" s="69"/>
      <c r="R2941" s="69"/>
      <c r="S2941" s="69"/>
      <c r="T2941" s="69"/>
      <c r="U2941" s="69"/>
      <c r="V2941" s="69"/>
      <c r="W2941" s="69"/>
    </row>
    <row r="2942" spans="7:23" x14ac:dyDescent="0.3">
      <c r="G2942" s="69"/>
      <c r="H2942" s="69"/>
      <c r="I2942" s="69"/>
      <c r="J2942" s="69"/>
      <c r="K2942" s="69"/>
      <c r="L2942" s="69"/>
      <c r="M2942" s="69"/>
      <c r="N2942" s="69"/>
      <c r="O2942" s="69"/>
      <c r="P2942" s="69"/>
      <c r="Q2942" s="69"/>
      <c r="R2942" s="69"/>
      <c r="S2942" s="69"/>
      <c r="T2942" s="69"/>
      <c r="U2942" s="69"/>
      <c r="V2942" s="69"/>
      <c r="W2942" s="69"/>
    </row>
    <row r="2943" spans="7:23" x14ac:dyDescent="0.3">
      <c r="G2943" s="69"/>
      <c r="H2943" s="69"/>
      <c r="I2943" s="69"/>
      <c r="J2943" s="69"/>
      <c r="K2943" s="69"/>
      <c r="L2943" s="69"/>
      <c r="M2943" s="69"/>
      <c r="N2943" s="69"/>
      <c r="O2943" s="69"/>
      <c r="P2943" s="69"/>
      <c r="Q2943" s="69"/>
      <c r="R2943" s="69"/>
      <c r="S2943" s="69"/>
      <c r="T2943" s="69"/>
      <c r="U2943" s="69"/>
      <c r="V2943" s="69"/>
      <c r="W2943" s="69"/>
    </row>
    <row r="2944" spans="7:23" x14ac:dyDescent="0.3">
      <c r="G2944" s="69"/>
      <c r="H2944" s="69"/>
      <c r="I2944" s="69"/>
      <c r="J2944" s="69"/>
      <c r="K2944" s="69"/>
      <c r="L2944" s="69"/>
      <c r="M2944" s="69"/>
      <c r="N2944" s="69"/>
      <c r="O2944" s="69"/>
      <c r="P2944" s="69"/>
      <c r="Q2944" s="69"/>
      <c r="R2944" s="69"/>
      <c r="S2944" s="69"/>
      <c r="T2944" s="69"/>
      <c r="U2944" s="69"/>
      <c r="V2944" s="69"/>
      <c r="W2944" s="69"/>
    </row>
    <row r="2945" spans="7:23" x14ac:dyDescent="0.3">
      <c r="G2945" s="69"/>
      <c r="H2945" s="69"/>
      <c r="I2945" s="69"/>
      <c r="J2945" s="69"/>
      <c r="K2945" s="69"/>
      <c r="L2945" s="69"/>
      <c r="M2945" s="69"/>
      <c r="N2945" s="69"/>
      <c r="O2945" s="69"/>
      <c r="P2945" s="69"/>
      <c r="Q2945" s="69"/>
      <c r="R2945" s="69"/>
      <c r="S2945" s="69"/>
      <c r="T2945" s="69"/>
      <c r="U2945" s="69"/>
      <c r="V2945" s="69"/>
      <c r="W2945" s="69"/>
    </row>
    <row r="2946" spans="7:23" x14ac:dyDescent="0.3">
      <c r="G2946" s="69"/>
      <c r="H2946" s="69"/>
      <c r="I2946" s="69"/>
      <c r="J2946" s="69"/>
      <c r="K2946" s="69"/>
      <c r="L2946" s="69"/>
      <c r="M2946" s="69"/>
      <c r="N2946" s="69"/>
      <c r="O2946" s="69"/>
      <c r="P2946" s="69"/>
      <c r="Q2946" s="69"/>
      <c r="R2946" s="69"/>
      <c r="S2946" s="69"/>
      <c r="T2946" s="69"/>
      <c r="U2946" s="69"/>
      <c r="V2946" s="69"/>
      <c r="W2946" s="69"/>
    </row>
    <row r="2947" spans="7:23" x14ac:dyDescent="0.3">
      <c r="G2947" s="69"/>
      <c r="H2947" s="69"/>
      <c r="I2947" s="69"/>
      <c r="J2947" s="69"/>
      <c r="K2947" s="69"/>
      <c r="L2947" s="69"/>
      <c r="M2947" s="69"/>
      <c r="N2947" s="69"/>
      <c r="O2947" s="69"/>
      <c r="P2947" s="69"/>
      <c r="Q2947" s="69"/>
      <c r="R2947" s="69"/>
      <c r="S2947" s="69"/>
      <c r="T2947" s="69"/>
      <c r="U2947" s="69"/>
      <c r="V2947" s="69"/>
      <c r="W2947" s="69"/>
    </row>
    <row r="2948" spans="7:23" x14ac:dyDescent="0.3">
      <c r="G2948" s="69"/>
      <c r="H2948" s="69"/>
      <c r="I2948" s="69"/>
      <c r="J2948" s="69"/>
      <c r="K2948" s="69"/>
      <c r="L2948" s="69"/>
      <c r="M2948" s="69"/>
      <c r="N2948" s="69"/>
      <c r="O2948" s="69"/>
      <c r="P2948" s="69"/>
      <c r="Q2948" s="69"/>
      <c r="R2948" s="69"/>
      <c r="S2948" s="69"/>
      <c r="T2948" s="69"/>
      <c r="U2948" s="69"/>
      <c r="V2948" s="69"/>
      <c r="W2948" s="69"/>
    </row>
    <row r="2949" spans="7:23" x14ac:dyDescent="0.3">
      <c r="G2949" s="69"/>
      <c r="H2949" s="69"/>
      <c r="I2949" s="69"/>
      <c r="J2949" s="69"/>
      <c r="K2949" s="69"/>
      <c r="L2949" s="69"/>
      <c r="M2949" s="69"/>
      <c r="N2949" s="69"/>
      <c r="O2949" s="69"/>
      <c r="P2949" s="69"/>
      <c r="Q2949" s="69"/>
      <c r="R2949" s="69"/>
      <c r="S2949" s="69"/>
      <c r="T2949" s="69"/>
      <c r="U2949" s="69"/>
      <c r="V2949" s="69"/>
      <c r="W2949" s="69"/>
    </row>
    <row r="2950" spans="7:23" x14ac:dyDescent="0.3">
      <c r="G2950" s="69"/>
      <c r="H2950" s="69"/>
      <c r="I2950" s="69"/>
      <c r="J2950" s="69"/>
      <c r="K2950" s="69"/>
      <c r="L2950" s="69"/>
      <c r="M2950" s="69"/>
      <c r="N2950" s="69"/>
      <c r="O2950" s="69"/>
      <c r="P2950" s="69"/>
      <c r="Q2950" s="69"/>
      <c r="R2950" s="69"/>
      <c r="S2950" s="69"/>
      <c r="T2950" s="69"/>
      <c r="U2950" s="69"/>
      <c r="V2950" s="69"/>
      <c r="W2950" s="69"/>
    </row>
    <row r="2951" spans="7:23" x14ac:dyDescent="0.3">
      <c r="G2951" s="69"/>
      <c r="H2951" s="69"/>
      <c r="I2951" s="69"/>
      <c r="J2951" s="69"/>
      <c r="K2951" s="69"/>
      <c r="L2951" s="69"/>
      <c r="M2951" s="69"/>
      <c r="N2951" s="69"/>
      <c r="O2951" s="69"/>
      <c r="P2951" s="69"/>
      <c r="Q2951" s="69"/>
      <c r="R2951" s="69"/>
      <c r="S2951" s="69"/>
      <c r="T2951" s="69"/>
      <c r="U2951" s="69"/>
      <c r="V2951" s="69"/>
      <c r="W2951" s="69"/>
    </row>
    <row r="2952" spans="7:23" x14ac:dyDescent="0.3">
      <c r="G2952" s="69"/>
      <c r="H2952" s="69"/>
      <c r="I2952" s="69"/>
      <c r="J2952" s="69"/>
      <c r="K2952" s="69"/>
      <c r="L2952" s="69"/>
      <c r="M2952" s="69"/>
      <c r="N2952" s="69"/>
      <c r="O2952" s="69"/>
      <c r="P2952" s="69"/>
      <c r="Q2952" s="69"/>
      <c r="R2952" s="69"/>
      <c r="S2952" s="69"/>
      <c r="T2952" s="69"/>
      <c r="U2952" s="69"/>
      <c r="V2952" s="69"/>
      <c r="W2952" s="69"/>
    </row>
    <row r="2953" spans="7:23" x14ac:dyDescent="0.3">
      <c r="G2953" s="69"/>
      <c r="H2953" s="69"/>
      <c r="I2953" s="69"/>
      <c r="J2953" s="69"/>
      <c r="K2953" s="69"/>
      <c r="L2953" s="69"/>
      <c r="M2953" s="69"/>
      <c r="N2953" s="69"/>
      <c r="O2953" s="69"/>
      <c r="P2953" s="69"/>
      <c r="Q2953" s="69"/>
      <c r="R2953" s="69"/>
      <c r="S2953" s="69"/>
      <c r="T2953" s="69"/>
      <c r="U2953" s="69"/>
      <c r="V2953" s="69"/>
      <c r="W2953" s="69"/>
    </row>
    <row r="2954" spans="7:23" x14ac:dyDescent="0.3">
      <c r="G2954" s="69"/>
      <c r="H2954" s="69"/>
      <c r="I2954" s="69"/>
      <c r="J2954" s="69"/>
      <c r="K2954" s="69"/>
      <c r="L2954" s="69"/>
      <c r="M2954" s="69"/>
      <c r="N2954" s="69"/>
      <c r="O2954" s="69"/>
      <c r="P2954" s="69"/>
      <c r="Q2954" s="69"/>
      <c r="R2954" s="69"/>
      <c r="S2954" s="69"/>
      <c r="T2954" s="69"/>
      <c r="U2954" s="69"/>
      <c r="V2954" s="69"/>
      <c r="W2954" s="69"/>
    </row>
    <row r="2955" spans="7:23" x14ac:dyDescent="0.3">
      <c r="G2955" s="69"/>
      <c r="H2955" s="69"/>
      <c r="I2955" s="69"/>
      <c r="J2955" s="69"/>
      <c r="K2955" s="69"/>
      <c r="L2955" s="69"/>
      <c r="M2955" s="69"/>
      <c r="N2955" s="69"/>
      <c r="O2955" s="69"/>
      <c r="P2955" s="69"/>
      <c r="Q2955" s="69"/>
      <c r="R2955" s="69"/>
      <c r="S2955" s="69"/>
      <c r="T2955" s="69"/>
      <c r="U2955" s="69"/>
      <c r="V2955" s="69"/>
      <c r="W2955" s="69"/>
    </row>
    <row r="2956" spans="7:23" x14ac:dyDescent="0.3">
      <c r="G2956" s="69"/>
      <c r="H2956" s="69"/>
      <c r="I2956" s="69"/>
      <c r="J2956" s="69"/>
      <c r="K2956" s="69"/>
      <c r="L2956" s="69"/>
      <c r="M2956" s="69"/>
      <c r="N2956" s="69"/>
      <c r="O2956" s="69"/>
      <c r="P2956" s="69"/>
      <c r="Q2956" s="69"/>
      <c r="R2956" s="69"/>
      <c r="S2956" s="69"/>
      <c r="T2956" s="69"/>
      <c r="U2956" s="69"/>
      <c r="V2956" s="69"/>
      <c r="W2956" s="69"/>
    </row>
    <row r="2957" spans="7:23" x14ac:dyDescent="0.3">
      <c r="G2957" s="69"/>
      <c r="H2957" s="69"/>
      <c r="I2957" s="69"/>
      <c r="J2957" s="69"/>
      <c r="K2957" s="69"/>
      <c r="L2957" s="69"/>
      <c r="M2957" s="69"/>
      <c r="N2957" s="69"/>
      <c r="O2957" s="69"/>
      <c r="P2957" s="69"/>
      <c r="Q2957" s="69"/>
      <c r="R2957" s="69"/>
      <c r="S2957" s="69"/>
      <c r="T2957" s="69"/>
      <c r="U2957" s="69"/>
      <c r="V2957" s="69"/>
      <c r="W2957" s="69"/>
    </row>
    <row r="2958" spans="7:23" x14ac:dyDescent="0.3">
      <c r="G2958" s="69"/>
      <c r="H2958" s="69"/>
      <c r="I2958" s="69"/>
      <c r="J2958" s="69"/>
      <c r="K2958" s="69"/>
      <c r="L2958" s="69"/>
      <c r="M2958" s="69"/>
      <c r="N2958" s="69"/>
      <c r="O2958" s="69"/>
      <c r="P2958" s="69"/>
      <c r="Q2958" s="69"/>
      <c r="R2958" s="69"/>
      <c r="S2958" s="69"/>
      <c r="T2958" s="69"/>
      <c r="U2958" s="69"/>
      <c r="V2958" s="69"/>
      <c r="W2958" s="69"/>
    </row>
    <row r="2959" spans="7:23" x14ac:dyDescent="0.3">
      <c r="G2959" s="69"/>
      <c r="H2959" s="69"/>
      <c r="I2959" s="69"/>
      <c r="J2959" s="69"/>
      <c r="K2959" s="69"/>
      <c r="L2959" s="69"/>
      <c r="M2959" s="69"/>
      <c r="N2959" s="69"/>
      <c r="O2959" s="69"/>
      <c r="P2959" s="69"/>
      <c r="Q2959" s="69"/>
      <c r="R2959" s="69"/>
      <c r="S2959" s="69"/>
      <c r="T2959" s="69"/>
      <c r="U2959" s="69"/>
      <c r="V2959" s="69"/>
      <c r="W2959" s="69"/>
    </row>
    <row r="2960" spans="7:23" x14ac:dyDescent="0.3">
      <c r="G2960" s="69"/>
      <c r="H2960" s="69"/>
      <c r="I2960" s="69"/>
      <c r="J2960" s="69"/>
      <c r="K2960" s="69"/>
      <c r="L2960" s="69"/>
      <c r="M2960" s="69"/>
      <c r="N2960" s="69"/>
      <c r="O2960" s="69"/>
      <c r="P2960" s="69"/>
      <c r="Q2960" s="69"/>
      <c r="R2960" s="69"/>
      <c r="S2960" s="69"/>
      <c r="T2960" s="69"/>
      <c r="U2960" s="69"/>
      <c r="V2960" s="69"/>
      <c r="W2960" s="69"/>
    </row>
    <row r="2961" spans="7:23" x14ac:dyDescent="0.3">
      <c r="G2961" s="69"/>
      <c r="H2961" s="69"/>
      <c r="I2961" s="69"/>
      <c r="J2961" s="69"/>
      <c r="K2961" s="69"/>
      <c r="L2961" s="69"/>
      <c r="M2961" s="69"/>
      <c r="N2961" s="69"/>
      <c r="O2961" s="69"/>
      <c r="P2961" s="69"/>
      <c r="Q2961" s="69"/>
      <c r="R2961" s="69"/>
      <c r="S2961" s="69"/>
      <c r="T2961" s="69"/>
      <c r="U2961" s="69"/>
      <c r="V2961" s="69"/>
      <c r="W2961" s="69"/>
    </row>
    <row r="2962" spans="7:23" x14ac:dyDescent="0.3">
      <c r="G2962" s="69"/>
      <c r="H2962" s="69"/>
      <c r="I2962" s="69"/>
      <c r="J2962" s="69"/>
      <c r="K2962" s="69"/>
      <c r="L2962" s="69"/>
      <c r="M2962" s="69"/>
      <c r="N2962" s="69"/>
      <c r="O2962" s="69"/>
      <c r="P2962" s="69"/>
      <c r="Q2962" s="69"/>
      <c r="R2962" s="69"/>
      <c r="S2962" s="69"/>
      <c r="T2962" s="69"/>
      <c r="U2962" s="69"/>
      <c r="V2962" s="69"/>
      <c r="W2962" s="69"/>
    </row>
    <row r="2963" spans="7:23" x14ac:dyDescent="0.3">
      <c r="G2963" s="69"/>
      <c r="H2963" s="69"/>
      <c r="I2963" s="69"/>
      <c r="J2963" s="69"/>
      <c r="K2963" s="69"/>
      <c r="L2963" s="69"/>
      <c r="M2963" s="69"/>
      <c r="N2963" s="69"/>
      <c r="O2963" s="69"/>
      <c r="P2963" s="69"/>
      <c r="Q2963" s="69"/>
      <c r="R2963" s="69"/>
      <c r="S2963" s="69"/>
      <c r="T2963" s="69"/>
      <c r="U2963" s="69"/>
      <c r="V2963" s="69"/>
      <c r="W2963" s="69"/>
    </row>
    <row r="2964" spans="7:23" x14ac:dyDescent="0.3">
      <c r="G2964" s="69"/>
      <c r="H2964" s="69"/>
      <c r="I2964" s="69"/>
      <c r="J2964" s="69"/>
      <c r="K2964" s="69"/>
      <c r="L2964" s="69"/>
      <c r="M2964" s="69"/>
      <c r="N2964" s="69"/>
      <c r="O2964" s="69"/>
      <c r="P2964" s="69"/>
      <c r="Q2964" s="69"/>
      <c r="R2964" s="69"/>
      <c r="S2964" s="69"/>
      <c r="T2964" s="69"/>
      <c r="U2964" s="69"/>
      <c r="V2964" s="69"/>
      <c r="W2964" s="69"/>
    </row>
    <row r="2965" spans="7:23" x14ac:dyDescent="0.3">
      <c r="G2965" s="69"/>
      <c r="H2965" s="69"/>
      <c r="I2965" s="69"/>
      <c r="J2965" s="69"/>
      <c r="K2965" s="69"/>
      <c r="L2965" s="69"/>
      <c r="M2965" s="69"/>
      <c r="N2965" s="69"/>
      <c r="O2965" s="69"/>
      <c r="P2965" s="69"/>
      <c r="Q2965" s="69"/>
      <c r="R2965" s="69"/>
      <c r="S2965" s="69"/>
      <c r="T2965" s="69"/>
      <c r="U2965" s="69"/>
      <c r="V2965" s="69"/>
      <c r="W2965" s="69"/>
    </row>
    <row r="2966" spans="7:23" x14ac:dyDescent="0.3">
      <c r="G2966" s="69"/>
      <c r="H2966" s="69"/>
      <c r="I2966" s="69"/>
      <c r="J2966" s="69"/>
      <c r="K2966" s="69"/>
      <c r="L2966" s="69"/>
      <c r="M2966" s="69"/>
      <c r="N2966" s="69"/>
      <c r="O2966" s="69"/>
      <c r="P2966" s="69"/>
      <c r="Q2966" s="69"/>
      <c r="R2966" s="69"/>
      <c r="S2966" s="69"/>
      <c r="T2966" s="69"/>
      <c r="U2966" s="69"/>
      <c r="V2966" s="69"/>
      <c r="W2966" s="69"/>
    </row>
    <row r="2967" spans="7:23" x14ac:dyDescent="0.3">
      <c r="G2967" s="69"/>
      <c r="H2967" s="69"/>
      <c r="I2967" s="69"/>
      <c r="J2967" s="69"/>
      <c r="K2967" s="69"/>
      <c r="L2967" s="69"/>
      <c r="M2967" s="69"/>
      <c r="N2967" s="69"/>
      <c r="O2967" s="69"/>
      <c r="P2967" s="69"/>
      <c r="Q2967" s="69"/>
      <c r="R2967" s="69"/>
      <c r="S2967" s="69"/>
      <c r="T2967" s="69"/>
      <c r="U2967" s="69"/>
      <c r="V2967" s="69"/>
      <c r="W2967" s="69"/>
    </row>
    <row r="2968" spans="7:23" x14ac:dyDescent="0.3">
      <c r="G2968" s="69"/>
      <c r="H2968" s="69"/>
      <c r="I2968" s="69"/>
      <c r="J2968" s="69"/>
      <c r="K2968" s="69"/>
      <c r="L2968" s="69"/>
      <c r="M2968" s="69"/>
      <c r="N2968" s="69"/>
      <c r="O2968" s="69"/>
      <c r="P2968" s="69"/>
      <c r="Q2968" s="69"/>
      <c r="R2968" s="69"/>
      <c r="S2968" s="69"/>
      <c r="T2968" s="69"/>
      <c r="U2968" s="69"/>
      <c r="V2968" s="69"/>
      <c r="W2968" s="69"/>
    </row>
    <row r="2969" spans="7:23" x14ac:dyDescent="0.3">
      <c r="G2969" s="69"/>
      <c r="H2969" s="69"/>
      <c r="I2969" s="69"/>
      <c r="J2969" s="69"/>
      <c r="K2969" s="69"/>
      <c r="L2969" s="69"/>
      <c r="M2969" s="69"/>
      <c r="N2969" s="69"/>
      <c r="O2969" s="69"/>
      <c r="P2969" s="69"/>
      <c r="Q2969" s="69"/>
      <c r="R2969" s="69"/>
      <c r="S2969" s="69"/>
      <c r="T2969" s="69"/>
      <c r="U2969" s="69"/>
      <c r="V2969" s="69"/>
      <c r="W2969" s="69"/>
    </row>
    <row r="2970" spans="7:23" x14ac:dyDescent="0.3">
      <c r="G2970" s="69"/>
      <c r="H2970" s="69"/>
      <c r="I2970" s="69"/>
      <c r="J2970" s="69"/>
      <c r="K2970" s="69"/>
      <c r="L2970" s="69"/>
      <c r="M2970" s="69"/>
      <c r="N2970" s="69"/>
      <c r="O2970" s="69"/>
      <c r="P2970" s="69"/>
      <c r="Q2970" s="69"/>
      <c r="R2970" s="69"/>
      <c r="S2970" s="69"/>
      <c r="T2970" s="69"/>
      <c r="U2970" s="69"/>
      <c r="V2970" s="69"/>
      <c r="W2970" s="69"/>
    </row>
    <row r="2971" spans="7:23" x14ac:dyDescent="0.3">
      <c r="G2971" s="69"/>
      <c r="H2971" s="69"/>
      <c r="I2971" s="69"/>
      <c r="J2971" s="69"/>
      <c r="K2971" s="69"/>
      <c r="L2971" s="69"/>
      <c r="M2971" s="69"/>
      <c r="N2971" s="69"/>
      <c r="O2971" s="69"/>
      <c r="P2971" s="69"/>
      <c r="Q2971" s="69"/>
      <c r="R2971" s="69"/>
      <c r="S2971" s="69"/>
      <c r="T2971" s="69"/>
      <c r="U2971" s="69"/>
      <c r="V2971" s="69"/>
      <c r="W2971" s="69"/>
    </row>
    <row r="2972" spans="7:23" x14ac:dyDescent="0.3">
      <c r="G2972" s="69"/>
      <c r="H2972" s="69"/>
      <c r="I2972" s="69"/>
      <c r="J2972" s="69"/>
      <c r="K2972" s="69"/>
      <c r="L2972" s="69"/>
      <c r="M2972" s="69"/>
      <c r="N2972" s="69"/>
      <c r="O2972" s="69"/>
      <c r="P2972" s="69"/>
      <c r="Q2972" s="69"/>
      <c r="R2972" s="69"/>
      <c r="S2972" s="69"/>
      <c r="T2972" s="69"/>
      <c r="U2972" s="69"/>
      <c r="V2972" s="69"/>
      <c r="W2972" s="69"/>
    </row>
    <row r="2973" spans="7:23" x14ac:dyDescent="0.3">
      <c r="G2973" s="69"/>
      <c r="H2973" s="69"/>
      <c r="I2973" s="69"/>
      <c r="J2973" s="69"/>
      <c r="K2973" s="69"/>
      <c r="L2973" s="69"/>
      <c r="M2973" s="69"/>
      <c r="N2973" s="69"/>
      <c r="O2973" s="69"/>
      <c r="P2973" s="69"/>
      <c r="Q2973" s="69"/>
      <c r="R2973" s="69"/>
      <c r="S2973" s="69"/>
      <c r="T2973" s="69"/>
      <c r="U2973" s="69"/>
      <c r="V2973" s="69"/>
      <c r="W2973" s="69"/>
    </row>
    <row r="2974" spans="7:23" x14ac:dyDescent="0.3">
      <c r="G2974" s="69"/>
      <c r="H2974" s="69"/>
      <c r="I2974" s="69"/>
      <c r="J2974" s="69"/>
      <c r="K2974" s="69"/>
      <c r="L2974" s="69"/>
      <c r="M2974" s="69"/>
      <c r="N2974" s="69"/>
      <c r="O2974" s="69"/>
      <c r="P2974" s="69"/>
      <c r="Q2974" s="69"/>
      <c r="R2974" s="69"/>
      <c r="S2974" s="69"/>
      <c r="T2974" s="69"/>
      <c r="U2974" s="69"/>
      <c r="V2974" s="69"/>
      <c r="W2974" s="69"/>
    </row>
    <row r="2975" spans="7:23" x14ac:dyDescent="0.3">
      <c r="G2975" s="69"/>
      <c r="H2975" s="69"/>
      <c r="I2975" s="69"/>
      <c r="J2975" s="69"/>
      <c r="K2975" s="69"/>
      <c r="L2975" s="69"/>
      <c r="M2975" s="69"/>
      <c r="N2975" s="69"/>
      <c r="O2975" s="69"/>
      <c r="P2975" s="69"/>
      <c r="Q2975" s="69"/>
      <c r="R2975" s="69"/>
      <c r="S2975" s="69"/>
      <c r="T2975" s="69"/>
      <c r="U2975" s="69"/>
      <c r="V2975" s="69"/>
      <c r="W2975" s="69"/>
    </row>
    <row r="2976" spans="7:23" x14ac:dyDescent="0.3">
      <c r="G2976" s="69"/>
      <c r="H2976" s="69"/>
      <c r="I2976" s="69"/>
      <c r="J2976" s="69"/>
      <c r="K2976" s="69"/>
      <c r="L2976" s="69"/>
      <c r="M2976" s="69"/>
      <c r="N2976" s="69"/>
      <c r="O2976" s="69"/>
      <c r="P2976" s="69"/>
      <c r="Q2976" s="69"/>
      <c r="R2976" s="69"/>
      <c r="S2976" s="69"/>
      <c r="T2976" s="69"/>
      <c r="U2976" s="69"/>
      <c r="V2976" s="69"/>
      <c r="W2976" s="69"/>
    </row>
    <row r="2977" spans="1:23" x14ac:dyDescent="0.3">
      <c r="G2977" s="69"/>
      <c r="H2977" s="69"/>
      <c r="I2977" s="69"/>
      <c r="J2977" s="69"/>
      <c r="K2977" s="69"/>
      <c r="L2977" s="69"/>
      <c r="M2977" s="69"/>
      <c r="N2977" s="69"/>
      <c r="O2977" s="69"/>
      <c r="P2977" s="69"/>
      <c r="Q2977" s="69"/>
      <c r="R2977" s="69"/>
      <c r="S2977" s="69"/>
      <c r="T2977" s="69"/>
      <c r="U2977" s="69"/>
      <c r="V2977" s="69"/>
      <c r="W2977" s="69"/>
    </row>
    <row r="2978" spans="1:23" x14ac:dyDescent="0.3">
      <c r="G2978" s="69"/>
      <c r="H2978" s="69"/>
      <c r="I2978" s="69"/>
      <c r="J2978" s="69"/>
      <c r="K2978" s="69"/>
      <c r="L2978" s="69"/>
      <c r="M2978" s="69"/>
      <c r="N2978" s="69"/>
      <c r="O2978" s="69"/>
      <c r="P2978" s="69"/>
      <c r="Q2978" s="69"/>
      <c r="R2978" s="69"/>
      <c r="S2978" s="69"/>
      <c r="T2978" s="69"/>
      <c r="U2978" s="69"/>
      <c r="V2978" s="69"/>
      <c r="W2978" s="69"/>
    </row>
    <row r="2979" spans="1:23" x14ac:dyDescent="0.3">
      <c r="G2979" s="69"/>
      <c r="H2979" s="69"/>
      <c r="I2979" s="69"/>
      <c r="J2979" s="69"/>
      <c r="K2979" s="69"/>
      <c r="L2979" s="69"/>
      <c r="M2979" s="69"/>
      <c r="N2979" s="69"/>
      <c r="O2979" s="69"/>
      <c r="P2979" s="69"/>
      <c r="Q2979" s="69"/>
      <c r="R2979" s="69"/>
      <c r="S2979" s="69"/>
      <c r="T2979" s="69"/>
      <c r="U2979" s="69"/>
      <c r="V2979" s="69"/>
      <c r="W2979" s="69"/>
    </row>
    <row r="2980" spans="1:23" ht="21" x14ac:dyDescent="0.4">
      <c r="A2980" s="48"/>
      <c r="G2980" s="69"/>
      <c r="H2980" s="69"/>
      <c r="I2980" s="69"/>
      <c r="J2980" s="69"/>
      <c r="K2980" s="69"/>
      <c r="L2980" s="69"/>
      <c r="M2980" s="69"/>
      <c r="N2980" s="69"/>
      <c r="O2980" s="69"/>
      <c r="P2980" s="69"/>
      <c r="Q2980" s="69"/>
      <c r="R2980" s="69"/>
      <c r="S2980" s="69"/>
      <c r="T2980" s="69"/>
      <c r="U2980" s="69"/>
      <c r="V2980" s="69"/>
      <c r="W2980" s="69"/>
    </row>
    <row r="2981" spans="1:23" x14ac:dyDescent="0.3">
      <c r="G2981" s="69"/>
      <c r="H2981" s="69"/>
      <c r="I2981" s="69"/>
      <c r="J2981" s="69"/>
      <c r="K2981" s="69"/>
      <c r="L2981" s="69"/>
      <c r="M2981" s="69"/>
      <c r="N2981" s="69"/>
      <c r="O2981" s="69"/>
      <c r="P2981" s="69"/>
      <c r="Q2981" s="69"/>
      <c r="R2981" s="69"/>
      <c r="S2981" s="69"/>
      <c r="T2981" s="69"/>
      <c r="U2981" s="69"/>
      <c r="V2981" s="69"/>
      <c r="W2981" s="69"/>
    </row>
    <row r="2982" spans="1:23" x14ac:dyDescent="0.3">
      <c r="G2982" s="69"/>
      <c r="H2982" s="69"/>
      <c r="I2982" s="69"/>
      <c r="J2982" s="69"/>
      <c r="K2982" s="69"/>
      <c r="L2982" s="69"/>
      <c r="M2982" s="69"/>
      <c r="N2982" s="69"/>
      <c r="O2982" s="69"/>
      <c r="P2982" s="69"/>
      <c r="Q2982" s="69"/>
      <c r="R2982" s="69"/>
      <c r="S2982" s="69"/>
      <c r="T2982" s="69"/>
      <c r="U2982" s="69"/>
      <c r="V2982" s="69"/>
      <c r="W2982" s="69"/>
    </row>
    <row r="2983" spans="1:23" x14ac:dyDescent="0.3">
      <c r="G2983" s="69"/>
      <c r="H2983" s="69"/>
      <c r="I2983" s="69"/>
      <c r="J2983" s="69"/>
      <c r="K2983" s="69"/>
      <c r="L2983" s="69"/>
      <c r="M2983" s="69"/>
      <c r="N2983" s="69"/>
      <c r="O2983" s="69"/>
      <c r="P2983" s="69"/>
      <c r="Q2983" s="69"/>
      <c r="R2983" s="69"/>
      <c r="S2983" s="69"/>
      <c r="T2983" s="69"/>
      <c r="U2983" s="69"/>
      <c r="V2983" s="69"/>
      <c r="W2983" s="69"/>
    </row>
    <row r="2984" spans="1:23" x14ac:dyDescent="0.3">
      <c r="G2984" s="69"/>
      <c r="H2984" s="69"/>
      <c r="I2984" s="69"/>
      <c r="J2984" s="69"/>
      <c r="K2984" s="69"/>
      <c r="L2984" s="69"/>
      <c r="M2984" s="69"/>
      <c r="N2984" s="69"/>
      <c r="O2984" s="69"/>
      <c r="P2984" s="69"/>
      <c r="Q2984" s="69"/>
      <c r="R2984" s="69"/>
      <c r="S2984" s="69"/>
      <c r="T2984" s="69"/>
      <c r="U2984" s="69"/>
      <c r="V2984" s="69"/>
      <c r="W2984" s="69"/>
    </row>
    <row r="2985" spans="1:23" x14ac:dyDescent="0.3">
      <c r="G2985" s="69"/>
      <c r="H2985" s="69"/>
      <c r="I2985" s="69"/>
      <c r="J2985" s="69"/>
      <c r="K2985" s="69"/>
      <c r="L2985" s="69"/>
      <c r="M2985" s="69"/>
      <c r="N2985" s="69"/>
      <c r="O2985" s="69"/>
      <c r="P2985" s="69"/>
      <c r="Q2985" s="69"/>
      <c r="R2985" s="69"/>
      <c r="S2985" s="69"/>
      <c r="T2985" s="69"/>
      <c r="U2985" s="69"/>
      <c r="V2985" s="69"/>
      <c r="W2985" s="69"/>
    </row>
    <row r="2986" spans="1:23" x14ac:dyDescent="0.3">
      <c r="G2986" s="69"/>
      <c r="H2986" s="69"/>
      <c r="I2986" s="69"/>
      <c r="J2986" s="69"/>
      <c r="K2986" s="69"/>
      <c r="L2986" s="69"/>
      <c r="M2986" s="69"/>
      <c r="N2986" s="69"/>
      <c r="O2986" s="69"/>
      <c r="P2986" s="69"/>
      <c r="Q2986" s="69"/>
      <c r="R2986" s="69"/>
      <c r="S2986" s="69"/>
      <c r="T2986" s="69"/>
      <c r="U2986" s="69"/>
      <c r="V2986" s="69"/>
      <c r="W2986" s="69"/>
    </row>
    <row r="2987" spans="1:23" x14ac:dyDescent="0.3">
      <c r="G2987" s="69"/>
      <c r="H2987" s="69"/>
      <c r="I2987" s="69"/>
      <c r="J2987" s="69"/>
      <c r="K2987" s="69"/>
      <c r="L2987" s="69"/>
      <c r="M2987" s="69"/>
      <c r="N2987" s="69"/>
      <c r="O2987" s="69"/>
      <c r="P2987" s="69"/>
      <c r="Q2987" s="69"/>
      <c r="R2987" s="69"/>
      <c r="S2987" s="69"/>
      <c r="T2987" s="69"/>
      <c r="U2987" s="69"/>
      <c r="V2987" s="69"/>
      <c r="W2987" s="69"/>
    </row>
    <row r="2988" spans="1:23" x14ac:dyDescent="0.3">
      <c r="G2988" s="69"/>
      <c r="H2988" s="69"/>
      <c r="I2988" s="69"/>
      <c r="J2988" s="69"/>
      <c r="K2988" s="69"/>
      <c r="L2988" s="69"/>
      <c r="M2988" s="69"/>
      <c r="N2988" s="69"/>
      <c r="O2988" s="69"/>
      <c r="P2988" s="69"/>
      <c r="Q2988" s="69"/>
      <c r="R2988" s="69"/>
      <c r="S2988" s="69"/>
      <c r="T2988" s="69"/>
      <c r="U2988" s="69"/>
      <c r="V2988" s="69"/>
      <c r="W2988" s="69"/>
    </row>
    <row r="2989" spans="1:23" x14ac:dyDescent="0.3">
      <c r="G2989" s="69"/>
      <c r="H2989" s="69"/>
      <c r="I2989" s="69"/>
      <c r="J2989" s="69"/>
      <c r="K2989" s="69"/>
      <c r="L2989" s="69"/>
      <c r="M2989" s="69"/>
      <c r="N2989" s="69"/>
      <c r="O2989" s="69"/>
      <c r="P2989" s="69"/>
      <c r="Q2989" s="69"/>
      <c r="R2989" s="69"/>
      <c r="S2989" s="69"/>
      <c r="T2989" s="69"/>
      <c r="U2989" s="69"/>
      <c r="V2989" s="69"/>
      <c r="W2989" s="69"/>
    </row>
    <row r="2990" spans="1:23" x14ac:dyDescent="0.3">
      <c r="G2990" s="69"/>
      <c r="H2990" s="69"/>
      <c r="I2990" s="69"/>
      <c r="J2990" s="69"/>
      <c r="K2990" s="69"/>
      <c r="L2990" s="69"/>
      <c r="M2990" s="69"/>
      <c r="N2990" s="69"/>
      <c r="O2990" s="69"/>
      <c r="P2990" s="69"/>
      <c r="Q2990" s="69"/>
      <c r="R2990" s="69"/>
      <c r="S2990" s="69"/>
      <c r="T2990" s="69"/>
      <c r="U2990" s="69"/>
      <c r="V2990" s="69"/>
      <c r="W2990" s="69"/>
    </row>
    <row r="2991" spans="1:23" x14ac:dyDescent="0.3">
      <c r="G2991" s="69"/>
      <c r="H2991" s="69"/>
      <c r="I2991" s="69"/>
      <c r="J2991" s="69"/>
      <c r="K2991" s="69"/>
      <c r="L2991" s="69"/>
      <c r="M2991" s="69"/>
      <c r="N2991" s="69"/>
      <c r="O2991" s="69"/>
      <c r="P2991" s="69"/>
      <c r="Q2991" s="69"/>
      <c r="R2991" s="69"/>
      <c r="S2991" s="69"/>
      <c r="T2991" s="69"/>
      <c r="U2991" s="69"/>
      <c r="V2991" s="69"/>
      <c r="W2991" s="69"/>
    </row>
    <row r="2992" spans="1:23" x14ac:dyDescent="0.3">
      <c r="G2992" s="69"/>
      <c r="H2992" s="69"/>
      <c r="I2992" s="69"/>
      <c r="J2992" s="69"/>
      <c r="K2992" s="69"/>
      <c r="L2992" s="69"/>
      <c r="M2992" s="69"/>
      <c r="N2992" s="69"/>
      <c r="O2992" s="69"/>
      <c r="P2992" s="69"/>
      <c r="Q2992" s="69"/>
      <c r="R2992" s="69"/>
      <c r="S2992" s="69"/>
      <c r="T2992" s="69"/>
      <c r="U2992" s="69"/>
      <c r="V2992" s="69"/>
      <c r="W2992" s="69"/>
    </row>
    <row r="2993" spans="7:23" x14ac:dyDescent="0.3">
      <c r="G2993" s="69"/>
      <c r="H2993" s="69"/>
      <c r="I2993" s="69"/>
      <c r="J2993" s="69"/>
      <c r="K2993" s="69"/>
      <c r="L2993" s="69"/>
      <c r="M2993" s="69"/>
      <c r="N2993" s="69"/>
      <c r="O2993" s="69"/>
      <c r="P2993" s="69"/>
      <c r="Q2993" s="69"/>
      <c r="R2993" s="69"/>
      <c r="S2993" s="69"/>
      <c r="T2993" s="69"/>
      <c r="U2993" s="69"/>
      <c r="V2993" s="69"/>
      <c r="W2993" s="69"/>
    </row>
    <row r="2994" spans="7:23" x14ac:dyDescent="0.3">
      <c r="G2994" s="69"/>
      <c r="H2994" s="69"/>
      <c r="I2994" s="69"/>
      <c r="J2994" s="69"/>
      <c r="K2994" s="69"/>
      <c r="L2994" s="69"/>
      <c r="M2994" s="69"/>
      <c r="N2994" s="69"/>
      <c r="O2994" s="69"/>
      <c r="P2994" s="69"/>
      <c r="Q2994" s="69"/>
      <c r="R2994" s="69"/>
      <c r="S2994" s="69"/>
      <c r="T2994" s="69"/>
      <c r="U2994" s="69"/>
      <c r="V2994" s="69"/>
      <c r="W2994" s="69"/>
    </row>
    <row r="2995" spans="7:23" x14ac:dyDescent="0.3">
      <c r="G2995" s="69"/>
      <c r="H2995" s="69"/>
      <c r="I2995" s="69"/>
      <c r="J2995" s="69"/>
      <c r="K2995" s="69"/>
      <c r="L2995" s="69"/>
      <c r="M2995" s="69"/>
      <c r="N2995" s="69"/>
      <c r="O2995" s="69"/>
      <c r="P2995" s="69"/>
      <c r="Q2995" s="69"/>
      <c r="R2995" s="69"/>
      <c r="S2995" s="69"/>
      <c r="T2995" s="69"/>
      <c r="U2995" s="69"/>
      <c r="V2995" s="69"/>
      <c r="W2995" s="69"/>
    </row>
    <row r="2996" spans="7:23" x14ac:dyDescent="0.3">
      <c r="G2996" s="69"/>
      <c r="H2996" s="69"/>
      <c r="I2996" s="69"/>
      <c r="J2996" s="69"/>
      <c r="K2996" s="69"/>
      <c r="L2996" s="69"/>
      <c r="M2996" s="69"/>
      <c r="N2996" s="69"/>
      <c r="O2996" s="69"/>
      <c r="P2996" s="69"/>
      <c r="Q2996" s="69"/>
      <c r="R2996" s="69"/>
      <c r="S2996" s="69"/>
      <c r="T2996" s="69"/>
      <c r="U2996" s="69"/>
      <c r="V2996" s="69"/>
      <c r="W2996" s="69"/>
    </row>
    <row r="2997" spans="7:23" x14ac:dyDescent="0.3">
      <c r="G2997" s="69"/>
      <c r="H2997" s="69"/>
      <c r="I2997" s="69"/>
      <c r="J2997" s="69"/>
      <c r="K2997" s="69"/>
      <c r="L2997" s="69"/>
      <c r="M2997" s="69"/>
      <c r="N2997" s="69"/>
      <c r="O2997" s="69"/>
      <c r="P2997" s="69"/>
      <c r="Q2997" s="69"/>
      <c r="R2997" s="69"/>
      <c r="S2997" s="69"/>
      <c r="T2997" s="69"/>
      <c r="U2997" s="69"/>
      <c r="V2997" s="69"/>
      <c r="W2997" s="69"/>
    </row>
    <row r="2998" spans="7:23" x14ac:dyDescent="0.3">
      <c r="G2998" s="69"/>
      <c r="H2998" s="69"/>
      <c r="I2998" s="69"/>
      <c r="J2998" s="69"/>
      <c r="K2998" s="69"/>
      <c r="L2998" s="69"/>
      <c r="M2998" s="69"/>
      <c r="N2998" s="69"/>
      <c r="O2998" s="69"/>
      <c r="P2998" s="69"/>
      <c r="Q2998" s="69"/>
      <c r="R2998" s="69"/>
      <c r="S2998" s="69"/>
      <c r="T2998" s="69"/>
      <c r="U2998" s="69"/>
      <c r="V2998" s="69"/>
      <c r="W2998" s="69"/>
    </row>
    <row r="2999" spans="7:23" x14ac:dyDescent="0.3">
      <c r="G2999" s="69"/>
      <c r="H2999" s="69"/>
      <c r="I2999" s="69"/>
      <c r="J2999" s="69"/>
      <c r="K2999" s="69"/>
      <c r="L2999" s="69"/>
      <c r="M2999" s="69"/>
      <c r="N2999" s="69"/>
      <c r="O2999" s="69"/>
      <c r="P2999" s="69"/>
      <c r="Q2999" s="69"/>
      <c r="R2999" s="69"/>
      <c r="S2999" s="69"/>
      <c r="T2999" s="69"/>
      <c r="U2999" s="69"/>
      <c r="V2999" s="69"/>
      <c r="W2999" s="69"/>
    </row>
    <row r="3000" spans="7:23" x14ac:dyDescent="0.3">
      <c r="G3000" s="69"/>
      <c r="H3000" s="69"/>
      <c r="I3000" s="69"/>
      <c r="J3000" s="69"/>
      <c r="K3000" s="69"/>
      <c r="L3000" s="69"/>
      <c r="M3000" s="69"/>
      <c r="N3000" s="69"/>
      <c r="O3000" s="69"/>
      <c r="P3000" s="69"/>
      <c r="Q3000" s="69"/>
      <c r="R3000" s="69"/>
      <c r="S3000" s="69"/>
      <c r="T3000" s="69"/>
      <c r="U3000" s="69"/>
      <c r="V3000" s="69"/>
      <c r="W3000" s="69"/>
    </row>
    <row r="3001" spans="7:23" x14ac:dyDescent="0.3">
      <c r="G3001" s="69"/>
      <c r="H3001" s="69"/>
      <c r="I3001" s="69"/>
      <c r="J3001" s="69"/>
      <c r="K3001" s="69"/>
      <c r="L3001" s="69"/>
      <c r="M3001" s="69"/>
      <c r="N3001" s="69"/>
      <c r="O3001" s="69"/>
      <c r="P3001" s="69"/>
      <c r="Q3001" s="69"/>
      <c r="R3001" s="69"/>
      <c r="S3001" s="69"/>
      <c r="T3001" s="69"/>
      <c r="U3001" s="69"/>
      <c r="V3001" s="69"/>
      <c r="W3001" s="69"/>
    </row>
    <row r="3002" spans="7:23" x14ac:dyDescent="0.3">
      <c r="G3002" s="69"/>
      <c r="H3002" s="69"/>
      <c r="I3002" s="69"/>
      <c r="J3002" s="69"/>
      <c r="K3002" s="69"/>
      <c r="L3002" s="69"/>
      <c r="M3002" s="69"/>
      <c r="N3002" s="69"/>
      <c r="O3002" s="69"/>
      <c r="P3002" s="69"/>
      <c r="Q3002" s="69"/>
      <c r="R3002" s="69"/>
      <c r="S3002" s="69"/>
      <c r="T3002" s="69"/>
      <c r="U3002" s="69"/>
      <c r="V3002" s="69"/>
      <c r="W3002" s="69"/>
    </row>
    <row r="3003" spans="7:23" x14ac:dyDescent="0.3">
      <c r="G3003" s="69"/>
      <c r="H3003" s="69"/>
      <c r="I3003" s="69"/>
      <c r="J3003" s="69"/>
      <c r="K3003" s="69"/>
      <c r="L3003" s="69"/>
      <c r="M3003" s="69"/>
      <c r="N3003" s="69"/>
      <c r="O3003" s="69"/>
      <c r="P3003" s="69"/>
      <c r="Q3003" s="69"/>
      <c r="R3003" s="69"/>
      <c r="S3003" s="69"/>
      <c r="T3003" s="69"/>
      <c r="U3003" s="69"/>
      <c r="V3003" s="69"/>
      <c r="W3003" s="69"/>
    </row>
    <row r="3004" spans="7:23" x14ac:dyDescent="0.3">
      <c r="G3004" s="69"/>
      <c r="H3004" s="69"/>
      <c r="I3004" s="69"/>
      <c r="J3004" s="69"/>
      <c r="K3004" s="69"/>
      <c r="L3004" s="69"/>
      <c r="M3004" s="69"/>
      <c r="N3004" s="69"/>
      <c r="O3004" s="69"/>
      <c r="P3004" s="69"/>
      <c r="Q3004" s="69"/>
      <c r="R3004" s="69"/>
      <c r="S3004" s="69"/>
      <c r="T3004" s="69"/>
      <c r="U3004" s="69"/>
      <c r="V3004" s="69"/>
      <c r="W3004" s="69"/>
    </row>
    <row r="3005" spans="7:23" x14ac:dyDescent="0.3">
      <c r="G3005" s="69"/>
      <c r="H3005" s="69"/>
      <c r="I3005" s="69"/>
      <c r="J3005" s="69"/>
      <c r="K3005" s="69"/>
      <c r="L3005" s="69"/>
      <c r="M3005" s="69"/>
      <c r="N3005" s="69"/>
      <c r="O3005" s="69"/>
      <c r="P3005" s="69"/>
      <c r="Q3005" s="69"/>
      <c r="R3005" s="69"/>
      <c r="S3005" s="69"/>
      <c r="T3005" s="69"/>
      <c r="U3005" s="69"/>
      <c r="V3005" s="69"/>
      <c r="W3005" s="69"/>
    </row>
    <row r="3006" spans="7:23" x14ac:dyDescent="0.3">
      <c r="G3006" s="69"/>
      <c r="H3006" s="69"/>
      <c r="I3006" s="69"/>
      <c r="J3006" s="69"/>
      <c r="K3006" s="69"/>
      <c r="L3006" s="69"/>
      <c r="M3006" s="69"/>
      <c r="N3006" s="69"/>
      <c r="O3006" s="69"/>
      <c r="P3006" s="69"/>
      <c r="Q3006" s="69"/>
      <c r="R3006" s="69"/>
      <c r="S3006" s="69"/>
      <c r="T3006" s="69"/>
      <c r="U3006" s="69"/>
      <c r="V3006" s="69"/>
      <c r="W3006" s="69"/>
    </row>
    <row r="3007" spans="7:23" x14ac:dyDescent="0.3">
      <c r="G3007" s="69"/>
      <c r="H3007" s="69"/>
      <c r="I3007" s="69"/>
      <c r="J3007" s="69"/>
      <c r="K3007" s="69"/>
      <c r="L3007" s="69"/>
      <c r="M3007" s="69"/>
      <c r="N3007" s="69"/>
      <c r="O3007" s="69"/>
      <c r="P3007" s="69"/>
      <c r="Q3007" s="69"/>
      <c r="R3007" s="69"/>
      <c r="S3007" s="69"/>
      <c r="T3007" s="69"/>
      <c r="U3007" s="69"/>
      <c r="V3007" s="69"/>
      <c r="W3007" s="69"/>
    </row>
    <row r="3008" spans="7:23" x14ac:dyDescent="0.3">
      <c r="G3008" s="69"/>
      <c r="H3008" s="69"/>
      <c r="I3008" s="69"/>
      <c r="J3008" s="69"/>
      <c r="K3008" s="69"/>
      <c r="L3008" s="69"/>
      <c r="M3008" s="69"/>
      <c r="N3008" s="69"/>
      <c r="O3008" s="69"/>
      <c r="P3008" s="69"/>
      <c r="Q3008" s="69"/>
      <c r="R3008" s="69"/>
      <c r="S3008" s="69"/>
      <c r="T3008" s="69"/>
      <c r="U3008" s="69"/>
      <c r="V3008" s="69"/>
      <c r="W3008" s="69"/>
    </row>
    <row r="3009" spans="7:23" x14ac:dyDescent="0.3">
      <c r="G3009" s="69"/>
      <c r="H3009" s="69"/>
      <c r="I3009" s="69"/>
      <c r="J3009" s="69"/>
      <c r="K3009" s="69"/>
      <c r="L3009" s="69"/>
      <c r="M3009" s="69"/>
      <c r="N3009" s="69"/>
      <c r="O3009" s="69"/>
      <c r="P3009" s="69"/>
      <c r="Q3009" s="69"/>
      <c r="R3009" s="69"/>
      <c r="S3009" s="69"/>
      <c r="T3009" s="69"/>
      <c r="U3009" s="69"/>
      <c r="V3009" s="69"/>
      <c r="W3009" s="69"/>
    </row>
    <row r="3010" spans="7:23" x14ac:dyDescent="0.3">
      <c r="G3010" s="69"/>
      <c r="H3010" s="69"/>
      <c r="I3010" s="69"/>
      <c r="J3010" s="69"/>
      <c r="K3010" s="69"/>
      <c r="L3010" s="69"/>
      <c r="M3010" s="69"/>
      <c r="N3010" s="69"/>
      <c r="O3010" s="69"/>
      <c r="P3010" s="69"/>
      <c r="Q3010" s="69"/>
      <c r="R3010" s="69"/>
      <c r="S3010" s="69"/>
      <c r="T3010" s="69"/>
      <c r="U3010" s="69"/>
      <c r="V3010" s="69"/>
      <c r="W3010" s="69"/>
    </row>
    <row r="3011" spans="7:23" x14ac:dyDescent="0.3">
      <c r="G3011" s="69"/>
      <c r="H3011" s="69"/>
      <c r="I3011" s="69"/>
      <c r="J3011" s="69"/>
      <c r="K3011" s="69"/>
      <c r="L3011" s="69"/>
      <c r="M3011" s="69"/>
      <c r="N3011" s="69"/>
      <c r="O3011" s="69"/>
      <c r="P3011" s="69"/>
      <c r="Q3011" s="69"/>
      <c r="R3011" s="69"/>
      <c r="S3011" s="69"/>
      <c r="T3011" s="69"/>
      <c r="U3011" s="69"/>
      <c r="V3011" s="69"/>
      <c r="W3011" s="69"/>
    </row>
    <row r="3012" spans="7:23" x14ac:dyDescent="0.3">
      <c r="G3012" s="69"/>
      <c r="H3012" s="69"/>
      <c r="I3012" s="69"/>
      <c r="J3012" s="69"/>
      <c r="K3012" s="69"/>
      <c r="L3012" s="69"/>
      <c r="M3012" s="69"/>
      <c r="N3012" s="69"/>
      <c r="O3012" s="69"/>
      <c r="P3012" s="69"/>
      <c r="Q3012" s="69"/>
      <c r="R3012" s="69"/>
      <c r="S3012" s="69"/>
      <c r="T3012" s="69"/>
      <c r="U3012" s="69"/>
      <c r="V3012" s="69"/>
      <c r="W3012" s="69"/>
    </row>
    <row r="3013" spans="7:23" x14ac:dyDescent="0.3">
      <c r="G3013" s="69"/>
      <c r="H3013" s="69"/>
      <c r="I3013" s="69"/>
      <c r="J3013" s="69"/>
      <c r="K3013" s="69"/>
      <c r="L3013" s="69"/>
      <c r="M3013" s="69"/>
      <c r="N3013" s="69"/>
      <c r="O3013" s="69"/>
      <c r="P3013" s="69"/>
      <c r="Q3013" s="69"/>
      <c r="R3013" s="69"/>
      <c r="S3013" s="69"/>
      <c r="T3013" s="69"/>
      <c r="U3013" s="69"/>
      <c r="V3013" s="69"/>
      <c r="W3013" s="69"/>
    </row>
    <row r="3014" spans="7:23" x14ac:dyDescent="0.3">
      <c r="G3014" s="69"/>
      <c r="H3014" s="69"/>
      <c r="I3014" s="69"/>
      <c r="J3014" s="69"/>
      <c r="K3014" s="69"/>
      <c r="L3014" s="69"/>
      <c r="M3014" s="69"/>
      <c r="N3014" s="69"/>
      <c r="O3014" s="69"/>
      <c r="P3014" s="69"/>
      <c r="Q3014" s="69"/>
      <c r="R3014" s="69"/>
      <c r="S3014" s="69"/>
      <c r="T3014" s="69"/>
      <c r="U3014" s="69"/>
      <c r="V3014" s="69"/>
      <c r="W3014" s="69"/>
    </row>
    <row r="3015" spans="7:23" x14ac:dyDescent="0.3">
      <c r="G3015" s="69"/>
      <c r="H3015" s="69"/>
      <c r="I3015" s="69"/>
      <c r="J3015" s="69"/>
      <c r="K3015" s="69"/>
      <c r="L3015" s="69"/>
      <c r="M3015" s="69"/>
      <c r="N3015" s="69"/>
      <c r="O3015" s="69"/>
      <c r="P3015" s="69"/>
      <c r="Q3015" s="69"/>
      <c r="R3015" s="69"/>
      <c r="S3015" s="69"/>
      <c r="T3015" s="69"/>
      <c r="U3015" s="69"/>
      <c r="V3015" s="69"/>
      <c r="W3015" s="69"/>
    </row>
    <row r="3016" spans="7:23" x14ac:dyDescent="0.3">
      <c r="G3016" s="69"/>
      <c r="H3016" s="69"/>
      <c r="I3016" s="69"/>
      <c r="J3016" s="69"/>
      <c r="K3016" s="69"/>
      <c r="L3016" s="69"/>
      <c r="M3016" s="69"/>
      <c r="N3016" s="69"/>
      <c r="O3016" s="69"/>
      <c r="P3016" s="69"/>
      <c r="Q3016" s="69"/>
      <c r="R3016" s="69"/>
      <c r="S3016" s="69"/>
      <c r="T3016" s="69"/>
      <c r="U3016" s="69"/>
      <c r="V3016" s="69"/>
      <c r="W3016" s="69"/>
    </row>
    <row r="3017" spans="7:23" x14ac:dyDescent="0.3">
      <c r="G3017" s="69"/>
      <c r="H3017" s="69"/>
      <c r="I3017" s="69"/>
      <c r="J3017" s="69"/>
      <c r="K3017" s="69"/>
      <c r="L3017" s="69"/>
      <c r="M3017" s="69"/>
      <c r="N3017" s="69"/>
      <c r="O3017" s="69"/>
      <c r="P3017" s="69"/>
      <c r="Q3017" s="69"/>
      <c r="R3017" s="69"/>
      <c r="S3017" s="69"/>
      <c r="T3017" s="69"/>
      <c r="U3017" s="69"/>
      <c r="V3017" s="69"/>
      <c r="W3017" s="69"/>
    </row>
    <row r="3018" spans="7:23" x14ac:dyDescent="0.3">
      <c r="G3018" s="69"/>
      <c r="H3018" s="69"/>
      <c r="I3018" s="69"/>
      <c r="J3018" s="69"/>
      <c r="K3018" s="69"/>
      <c r="L3018" s="69"/>
      <c r="M3018" s="69"/>
      <c r="N3018" s="69"/>
      <c r="O3018" s="69"/>
      <c r="P3018" s="69"/>
      <c r="Q3018" s="69"/>
      <c r="R3018" s="69"/>
      <c r="S3018" s="69"/>
      <c r="T3018" s="69"/>
      <c r="U3018" s="69"/>
      <c r="V3018" s="69"/>
      <c r="W3018" s="69"/>
    </row>
    <row r="3019" spans="7:23" x14ac:dyDescent="0.3">
      <c r="G3019" s="69"/>
      <c r="H3019" s="69"/>
      <c r="I3019" s="69"/>
      <c r="J3019" s="69"/>
      <c r="K3019" s="69"/>
      <c r="L3019" s="69"/>
      <c r="M3019" s="69"/>
      <c r="N3019" s="69"/>
      <c r="O3019" s="69"/>
      <c r="P3019" s="69"/>
      <c r="Q3019" s="69"/>
      <c r="R3019" s="69"/>
      <c r="S3019" s="69"/>
      <c r="T3019" s="69"/>
      <c r="U3019" s="69"/>
      <c r="V3019" s="69"/>
      <c r="W3019" s="69"/>
    </row>
    <row r="3020" spans="7:23" x14ac:dyDescent="0.3">
      <c r="G3020" s="69"/>
      <c r="H3020" s="69"/>
      <c r="I3020" s="69"/>
      <c r="J3020" s="69"/>
      <c r="K3020" s="69"/>
      <c r="L3020" s="69"/>
      <c r="M3020" s="69"/>
      <c r="N3020" s="69"/>
      <c r="O3020" s="69"/>
      <c r="P3020" s="69"/>
      <c r="Q3020" s="69"/>
      <c r="R3020" s="69"/>
      <c r="S3020" s="69"/>
      <c r="T3020" s="69"/>
      <c r="U3020" s="69"/>
      <c r="V3020" s="69"/>
      <c r="W3020" s="69"/>
    </row>
    <row r="3021" spans="7:23" x14ac:dyDescent="0.3">
      <c r="G3021" s="69"/>
      <c r="H3021" s="69"/>
      <c r="I3021" s="69"/>
      <c r="J3021" s="69"/>
      <c r="K3021" s="69"/>
      <c r="L3021" s="69"/>
      <c r="M3021" s="69"/>
      <c r="N3021" s="69"/>
      <c r="O3021" s="69"/>
      <c r="P3021" s="69"/>
      <c r="Q3021" s="69"/>
      <c r="R3021" s="69"/>
      <c r="S3021" s="69"/>
      <c r="T3021" s="69"/>
      <c r="U3021" s="69"/>
      <c r="V3021" s="69"/>
      <c r="W3021" s="69"/>
    </row>
    <row r="3022" spans="7:23" x14ac:dyDescent="0.3">
      <c r="G3022" s="69"/>
      <c r="H3022" s="69"/>
      <c r="I3022" s="69"/>
      <c r="J3022" s="69"/>
      <c r="K3022" s="69"/>
      <c r="L3022" s="69"/>
      <c r="M3022" s="69"/>
      <c r="N3022" s="69"/>
      <c r="O3022" s="69"/>
      <c r="P3022" s="69"/>
      <c r="Q3022" s="69"/>
      <c r="R3022" s="69"/>
      <c r="S3022" s="69"/>
      <c r="T3022" s="69"/>
      <c r="U3022" s="69"/>
      <c r="V3022" s="69"/>
      <c r="W3022" s="69"/>
    </row>
    <row r="3023" spans="7:23" x14ac:dyDescent="0.3">
      <c r="G3023" s="69"/>
      <c r="H3023" s="69"/>
      <c r="I3023" s="69"/>
      <c r="J3023" s="69"/>
      <c r="K3023" s="69"/>
      <c r="L3023" s="69"/>
      <c r="M3023" s="69"/>
      <c r="N3023" s="69"/>
      <c r="O3023" s="69"/>
      <c r="P3023" s="69"/>
      <c r="Q3023" s="69"/>
      <c r="R3023" s="69"/>
      <c r="S3023" s="69"/>
      <c r="T3023" s="69"/>
      <c r="U3023" s="69"/>
      <c r="V3023" s="69"/>
      <c r="W3023" s="69"/>
    </row>
    <row r="3024" spans="7:23" x14ac:dyDescent="0.3">
      <c r="G3024" s="69"/>
      <c r="H3024" s="69"/>
      <c r="I3024" s="69"/>
      <c r="J3024" s="69"/>
      <c r="K3024" s="69"/>
      <c r="L3024" s="69"/>
      <c r="M3024" s="69"/>
      <c r="N3024" s="69"/>
      <c r="O3024" s="69"/>
      <c r="P3024" s="69"/>
      <c r="Q3024" s="69"/>
      <c r="R3024" s="69"/>
      <c r="S3024" s="69"/>
      <c r="T3024" s="69"/>
      <c r="U3024" s="69"/>
      <c r="V3024" s="69"/>
      <c r="W3024" s="69"/>
    </row>
    <row r="3025" spans="7:23" x14ac:dyDescent="0.3">
      <c r="G3025" s="69"/>
      <c r="H3025" s="69"/>
      <c r="I3025" s="69"/>
      <c r="J3025" s="69"/>
      <c r="K3025" s="69"/>
      <c r="L3025" s="69"/>
      <c r="M3025" s="69"/>
      <c r="N3025" s="69"/>
      <c r="O3025" s="69"/>
      <c r="P3025" s="69"/>
      <c r="Q3025" s="69"/>
      <c r="R3025" s="69"/>
      <c r="S3025" s="69"/>
      <c r="T3025" s="69"/>
      <c r="U3025" s="69"/>
      <c r="V3025" s="69"/>
      <c r="W3025" s="69"/>
    </row>
    <row r="3026" spans="7:23" x14ac:dyDescent="0.3">
      <c r="G3026" s="69"/>
      <c r="H3026" s="69"/>
      <c r="I3026" s="69"/>
      <c r="J3026" s="69"/>
      <c r="K3026" s="69"/>
      <c r="L3026" s="69"/>
      <c r="M3026" s="69"/>
      <c r="N3026" s="69"/>
      <c r="O3026" s="69"/>
      <c r="P3026" s="69"/>
      <c r="Q3026" s="69"/>
      <c r="R3026" s="69"/>
      <c r="S3026" s="69"/>
      <c r="T3026" s="69"/>
      <c r="U3026" s="69"/>
      <c r="V3026" s="69"/>
      <c r="W3026" s="69"/>
    </row>
    <row r="3027" spans="7:23" x14ac:dyDescent="0.3">
      <c r="G3027" s="69"/>
      <c r="H3027" s="69"/>
      <c r="I3027" s="69"/>
      <c r="J3027" s="69"/>
      <c r="K3027" s="69"/>
      <c r="L3027" s="69"/>
      <c r="M3027" s="69"/>
      <c r="N3027" s="69"/>
      <c r="O3027" s="69"/>
      <c r="P3027" s="69"/>
      <c r="Q3027" s="69"/>
      <c r="R3027" s="69"/>
      <c r="S3027" s="69"/>
      <c r="T3027" s="69"/>
      <c r="U3027" s="69"/>
      <c r="V3027" s="69"/>
      <c r="W3027" s="69"/>
    </row>
    <row r="3028" spans="7:23" x14ac:dyDescent="0.3">
      <c r="G3028" s="69"/>
      <c r="H3028" s="69"/>
      <c r="I3028" s="69"/>
      <c r="J3028" s="69"/>
      <c r="K3028" s="69"/>
      <c r="L3028" s="69"/>
      <c r="M3028" s="69"/>
      <c r="N3028" s="69"/>
      <c r="O3028" s="69"/>
      <c r="P3028" s="69"/>
      <c r="Q3028" s="69"/>
      <c r="R3028" s="69"/>
      <c r="S3028" s="69"/>
      <c r="T3028" s="69"/>
      <c r="U3028" s="69"/>
      <c r="V3028" s="69"/>
      <c r="W3028" s="69"/>
    </row>
    <row r="3029" spans="7:23" x14ac:dyDescent="0.3">
      <c r="G3029" s="69"/>
      <c r="H3029" s="69"/>
      <c r="I3029" s="69"/>
      <c r="J3029" s="69"/>
      <c r="K3029" s="69"/>
      <c r="L3029" s="69"/>
      <c r="M3029" s="69"/>
      <c r="N3029" s="69"/>
      <c r="O3029" s="69"/>
      <c r="P3029" s="69"/>
      <c r="Q3029" s="69"/>
      <c r="R3029" s="69"/>
      <c r="S3029" s="69"/>
      <c r="T3029" s="69"/>
      <c r="U3029" s="69"/>
      <c r="V3029" s="69"/>
      <c r="W3029" s="69"/>
    </row>
    <row r="3030" spans="7:23" x14ac:dyDescent="0.3">
      <c r="G3030" s="69"/>
      <c r="H3030" s="69"/>
      <c r="I3030" s="69"/>
      <c r="J3030" s="69"/>
      <c r="K3030" s="69"/>
      <c r="L3030" s="69"/>
      <c r="M3030" s="69"/>
      <c r="N3030" s="69"/>
      <c r="O3030" s="69"/>
      <c r="P3030" s="69"/>
      <c r="Q3030" s="69"/>
      <c r="R3030" s="69"/>
      <c r="S3030" s="69"/>
      <c r="T3030" s="69"/>
      <c r="U3030" s="69"/>
      <c r="V3030" s="69"/>
      <c r="W3030" s="69"/>
    </row>
    <row r="3031" spans="7:23" x14ac:dyDescent="0.3">
      <c r="G3031" s="69"/>
      <c r="H3031" s="69"/>
      <c r="I3031" s="69"/>
      <c r="J3031" s="69"/>
      <c r="K3031" s="69"/>
      <c r="L3031" s="69"/>
      <c r="M3031" s="69"/>
      <c r="N3031" s="69"/>
      <c r="O3031" s="69"/>
      <c r="P3031" s="69"/>
      <c r="Q3031" s="69"/>
      <c r="R3031" s="69"/>
      <c r="S3031" s="69"/>
      <c r="T3031" s="69"/>
      <c r="U3031" s="69"/>
      <c r="V3031" s="69"/>
      <c r="W3031" s="69"/>
    </row>
    <row r="3032" spans="7:23" x14ac:dyDescent="0.3">
      <c r="G3032" s="69"/>
      <c r="H3032" s="69"/>
      <c r="I3032" s="69"/>
      <c r="J3032" s="69"/>
      <c r="K3032" s="69"/>
      <c r="L3032" s="69"/>
      <c r="M3032" s="69"/>
      <c r="N3032" s="69"/>
      <c r="O3032" s="69"/>
      <c r="P3032" s="69"/>
      <c r="Q3032" s="69"/>
      <c r="R3032" s="69"/>
      <c r="S3032" s="69"/>
      <c r="T3032" s="69"/>
      <c r="U3032" s="69"/>
      <c r="V3032" s="69"/>
      <c r="W3032" s="69"/>
    </row>
    <row r="3033" spans="7:23" x14ac:dyDescent="0.3">
      <c r="G3033" s="69"/>
      <c r="H3033" s="69"/>
      <c r="I3033" s="69"/>
      <c r="J3033" s="69"/>
      <c r="K3033" s="69"/>
      <c r="L3033" s="69"/>
      <c r="M3033" s="69"/>
      <c r="N3033" s="69"/>
      <c r="O3033" s="69"/>
      <c r="P3033" s="69"/>
      <c r="Q3033" s="69"/>
      <c r="R3033" s="69"/>
      <c r="S3033" s="69"/>
      <c r="T3033" s="69"/>
      <c r="U3033" s="69"/>
      <c r="V3033" s="69"/>
      <c r="W3033" s="69"/>
    </row>
    <row r="3034" spans="7:23" x14ac:dyDescent="0.3">
      <c r="G3034" s="69"/>
      <c r="H3034" s="69"/>
      <c r="I3034" s="69"/>
      <c r="J3034" s="69"/>
      <c r="K3034" s="69"/>
      <c r="L3034" s="69"/>
      <c r="M3034" s="69"/>
      <c r="N3034" s="69"/>
      <c r="O3034" s="69"/>
      <c r="P3034" s="69"/>
      <c r="Q3034" s="69"/>
      <c r="R3034" s="69"/>
      <c r="S3034" s="69"/>
      <c r="T3034" s="69"/>
      <c r="U3034" s="69"/>
      <c r="V3034" s="69"/>
      <c r="W3034" s="69"/>
    </row>
    <row r="3035" spans="7:23" x14ac:dyDescent="0.3">
      <c r="G3035" s="69"/>
      <c r="H3035" s="69"/>
      <c r="I3035" s="69"/>
      <c r="J3035" s="69"/>
      <c r="K3035" s="69"/>
      <c r="L3035" s="69"/>
      <c r="M3035" s="69"/>
      <c r="N3035" s="69"/>
      <c r="O3035" s="69"/>
      <c r="P3035" s="69"/>
      <c r="Q3035" s="69"/>
      <c r="R3035" s="69"/>
      <c r="S3035" s="69"/>
      <c r="T3035" s="69"/>
      <c r="U3035" s="69"/>
      <c r="V3035" s="69"/>
      <c r="W3035" s="69"/>
    </row>
    <row r="3036" spans="7:23" x14ac:dyDescent="0.3">
      <c r="G3036" s="69"/>
      <c r="H3036" s="69"/>
      <c r="I3036" s="69"/>
      <c r="J3036" s="69"/>
      <c r="K3036" s="69"/>
      <c r="L3036" s="69"/>
      <c r="M3036" s="69"/>
      <c r="N3036" s="69"/>
      <c r="O3036" s="69"/>
      <c r="P3036" s="69"/>
      <c r="Q3036" s="69"/>
      <c r="R3036" s="69"/>
      <c r="S3036" s="69"/>
      <c r="T3036" s="69"/>
      <c r="U3036" s="69"/>
      <c r="V3036" s="69"/>
      <c r="W3036" s="69"/>
    </row>
    <row r="3037" spans="7:23" x14ac:dyDescent="0.3">
      <c r="G3037" s="69"/>
      <c r="H3037" s="69"/>
      <c r="I3037" s="69"/>
      <c r="J3037" s="69"/>
      <c r="K3037" s="69"/>
      <c r="L3037" s="69"/>
      <c r="M3037" s="69"/>
      <c r="N3037" s="69"/>
      <c r="O3037" s="69"/>
      <c r="P3037" s="69"/>
      <c r="Q3037" s="69"/>
      <c r="R3037" s="69"/>
      <c r="S3037" s="69"/>
      <c r="T3037" s="69"/>
      <c r="U3037" s="69"/>
      <c r="V3037" s="69"/>
      <c r="W3037" s="69"/>
    </row>
    <row r="3038" spans="7:23" x14ac:dyDescent="0.3">
      <c r="G3038" s="69"/>
      <c r="H3038" s="69"/>
      <c r="I3038" s="69"/>
      <c r="J3038" s="69"/>
      <c r="K3038" s="69"/>
      <c r="L3038" s="69"/>
      <c r="M3038" s="69"/>
      <c r="N3038" s="69"/>
      <c r="O3038" s="69"/>
      <c r="P3038" s="69"/>
      <c r="Q3038" s="69"/>
      <c r="R3038" s="69"/>
      <c r="S3038" s="69"/>
      <c r="T3038" s="69"/>
      <c r="U3038" s="69"/>
      <c r="V3038" s="69"/>
      <c r="W3038" s="69"/>
    </row>
    <row r="3039" spans="7:23" x14ac:dyDescent="0.3">
      <c r="G3039" s="69"/>
      <c r="H3039" s="69"/>
      <c r="I3039" s="69"/>
      <c r="J3039" s="69"/>
      <c r="K3039" s="69"/>
      <c r="L3039" s="69"/>
      <c r="M3039" s="69"/>
      <c r="N3039" s="69"/>
      <c r="O3039" s="69"/>
      <c r="P3039" s="69"/>
      <c r="Q3039" s="69"/>
      <c r="R3039" s="69"/>
      <c r="S3039" s="69"/>
      <c r="T3039" s="69"/>
      <c r="U3039" s="69"/>
      <c r="V3039" s="69"/>
      <c r="W3039" s="69"/>
    </row>
    <row r="3040" spans="7:23" x14ac:dyDescent="0.3">
      <c r="G3040" s="69"/>
      <c r="H3040" s="69"/>
      <c r="I3040" s="69"/>
      <c r="J3040" s="69"/>
      <c r="K3040" s="69"/>
      <c r="L3040" s="69"/>
      <c r="M3040" s="69"/>
      <c r="N3040" s="69"/>
      <c r="O3040" s="69"/>
      <c r="P3040" s="69"/>
      <c r="Q3040" s="69"/>
      <c r="R3040" s="69"/>
      <c r="S3040" s="69"/>
      <c r="T3040" s="69"/>
      <c r="U3040" s="69"/>
      <c r="V3040" s="69"/>
      <c r="W3040" s="69"/>
    </row>
    <row r="3041" spans="7:23" x14ac:dyDescent="0.3">
      <c r="G3041" s="69"/>
      <c r="H3041" s="69"/>
      <c r="I3041" s="69"/>
      <c r="J3041" s="69"/>
      <c r="K3041" s="69"/>
      <c r="L3041" s="69"/>
      <c r="M3041" s="69"/>
      <c r="N3041" s="69"/>
      <c r="O3041" s="69"/>
      <c r="P3041" s="69"/>
      <c r="Q3041" s="69"/>
      <c r="R3041" s="69"/>
      <c r="S3041" s="69"/>
      <c r="T3041" s="69"/>
      <c r="U3041" s="69"/>
      <c r="V3041" s="69"/>
      <c r="W3041" s="69"/>
    </row>
    <row r="3042" spans="7:23" x14ac:dyDescent="0.3">
      <c r="G3042" s="69"/>
      <c r="H3042" s="69"/>
      <c r="I3042" s="69"/>
      <c r="J3042" s="69"/>
      <c r="K3042" s="69"/>
      <c r="L3042" s="69"/>
      <c r="M3042" s="69"/>
      <c r="N3042" s="69"/>
      <c r="O3042" s="69"/>
      <c r="P3042" s="69"/>
      <c r="Q3042" s="69"/>
      <c r="R3042" s="69"/>
      <c r="S3042" s="69"/>
      <c r="T3042" s="69"/>
      <c r="U3042" s="69"/>
      <c r="V3042" s="69"/>
      <c r="W3042" s="69"/>
    </row>
    <row r="3043" spans="7:23" x14ac:dyDescent="0.3">
      <c r="G3043" s="69"/>
      <c r="H3043" s="69"/>
      <c r="I3043" s="69"/>
      <c r="J3043" s="69"/>
      <c r="K3043" s="69"/>
      <c r="L3043" s="69"/>
      <c r="M3043" s="69"/>
      <c r="N3043" s="69"/>
      <c r="O3043" s="69"/>
      <c r="P3043" s="69"/>
      <c r="Q3043" s="69"/>
      <c r="R3043" s="69"/>
      <c r="S3043" s="69"/>
      <c r="T3043" s="69"/>
      <c r="U3043" s="69"/>
      <c r="V3043" s="69"/>
      <c r="W3043" s="69"/>
    </row>
    <row r="3044" spans="7:23" x14ac:dyDescent="0.3">
      <c r="G3044" s="69"/>
      <c r="H3044" s="69"/>
      <c r="I3044" s="69"/>
      <c r="J3044" s="69"/>
      <c r="K3044" s="69"/>
      <c r="L3044" s="69"/>
      <c r="M3044" s="69"/>
      <c r="N3044" s="69"/>
      <c r="O3044" s="69"/>
      <c r="P3044" s="69"/>
      <c r="Q3044" s="69"/>
      <c r="R3044" s="69"/>
      <c r="S3044" s="69"/>
      <c r="T3044" s="69"/>
      <c r="U3044" s="69"/>
      <c r="V3044" s="69"/>
      <c r="W3044" s="69"/>
    </row>
    <row r="3045" spans="7:23" x14ac:dyDescent="0.3">
      <c r="G3045" s="69"/>
      <c r="H3045" s="69"/>
      <c r="I3045" s="69"/>
      <c r="J3045" s="69"/>
      <c r="K3045" s="69"/>
      <c r="L3045" s="69"/>
      <c r="M3045" s="69"/>
      <c r="N3045" s="69"/>
      <c r="O3045" s="69"/>
      <c r="P3045" s="69"/>
      <c r="Q3045" s="69"/>
      <c r="R3045" s="69"/>
      <c r="S3045" s="69"/>
      <c r="T3045" s="69"/>
      <c r="U3045" s="69"/>
      <c r="V3045" s="69"/>
      <c r="W3045" s="69"/>
    </row>
    <row r="3046" spans="7:23" x14ac:dyDescent="0.3">
      <c r="G3046" s="69"/>
      <c r="H3046" s="69"/>
      <c r="I3046" s="69"/>
      <c r="J3046" s="69"/>
      <c r="K3046" s="69"/>
      <c r="L3046" s="69"/>
      <c r="M3046" s="69"/>
      <c r="N3046" s="69"/>
      <c r="O3046" s="69"/>
      <c r="P3046" s="69"/>
      <c r="Q3046" s="69"/>
      <c r="R3046" s="69"/>
      <c r="S3046" s="69"/>
      <c r="T3046" s="69"/>
      <c r="U3046" s="69"/>
      <c r="V3046" s="69"/>
      <c r="W3046" s="69"/>
    </row>
    <row r="3047" spans="7:23" x14ac:dyDescent="0.3">
      <c r="G3047" s="69"/>
      <c r="H3047" s="69"/>
      <c r="I3047" s="69"/>
      <c r="J3047" s="69"/>
      <c r="K3047" s="69"/>
      <c r="L3047" s="69"/>
      <c r="M3047" s="69"/>
      <c r="N3047" s="69"/>
      <c r="O3047" s="69"/>
      <c r="P3047" s="69"/>
      <c r="Q3047" s="69"/>
      <c r="R3047" s="69"/>
      <c r="S3047" s="69"/>
      <c r="T3047" s="69"/>
      <c r="U3047" s="69"/>
      <c r="V3047" s="69"/>
      <c r="W3047" s="69"/>
    </row>
    <row r="3048" spans="7:23" x14ac:dyDescent="0.3">
      <c r="G3048" s="69"/>
      <c r="H3048" s="69"/>
      <c r="I3048" s="69"/>
      <c r="J3048" s="69"/>
      <c r="K3048" s="69"/>
      <c r="L3048" s="69"/>
      <c r="M3048" s="69"/>
      <c r="N3048" s="69"/>
      <c r="O3048" s="69"/>
      <c r="P3048" s="69"/>
      <c r="Q3048" s="69"/>
      <c r="R3048" s="69"/>
      <c r="S3048" s="69"/>
      <c r="T3048" s="69"/>
      <c r="U3048" s="69"/>
      <c r="V3048" s="69"/>
      <c r="W3048" s="69"/>
    </row>
    <row r="3049" spans="7:23" x14ac:dyDescent="0.3">
      <c r="G3049" s="69"/>
      <c r="H3049" s="69"/>
      <c r="I3049" s="69"/>
      <c r="J3049" s="69"/>
      <c r="K3049" s="69"/>
      <c r="L3049" s="69"/>
      <c r="M3049" s="69"/>
      <c r="N3049" s="69"/>
      <c r="O3049" s="69"/>
      <c r="P3049" s="69"/>
      <c r="Q3049" s="69"/>
      <c r="R3049" s="69"/>
      <c r="S3049" s="69"/>
      <c r="T3049" s="69"/>
      <c r="U3049" s="69"/>
      <c r="V3049" s="69"/>
      <c r="W3049" s="69"/>
    </row>
    <row r="3050" spans="7:23" x14ac:dyDescent="0.3">
      <c r="G3050" s="69"/>
      <c r="H3050" s="69"/>
      <c r="I3050" s="69"/>
      <c r="J3050" s="69"/>
      <c r="K3050" s="69"/>
      <c r="L3050" s="69"/>
      <c r="M3050" s="69"/>
      <c r="N3050" s="69"/>
      <c r="O3050" s="69"/>
      <c r="P3050" s="69"/>
      <c r="Q3050" s="69"/>
      <c r="R3050" s="69"/>
      <c r="S3050" s="69"/>
      <c r="T3050" s="69"/>
      <c r="U3050" s="69"/>
      <c r="V3050" s="69"/>
      <c r="W3050" s="69"/>
    </row>
    <row r="3051" spans="7:23" x14ac:dyDescent="0.3">
      <c r="G3051" s="69"/>
      <c r="H3051" s="69"/>
      <c r="I3051" s="69"/>
      <c r="J3051" s="69"/>
      <c r="K3051" s="69"/>
      <c r="L3051" s="69"/>
      <c r="M3051" s="69"/>
      <c r="N3051" s="69"/>
      <c r="O3051" s="69"/>
      <c r="P3051" s="69"/>
      <c r="Q3051" s="69"/>
      <c r="R3051" s="69"/>
      <c r="S3051" s="69"/>
      <c r="T3051" s="69"/>
      <c r="U3051" s="69"/>
      <c r="V3051" s="69"/>
      <c r="W3051" s="69"/>
    </row>
    <row r="3052" spans="7:23" x14ac:dyDescent="0.3">
      <c r="G3052" s="69"/>
      <c r="H3052" s="69"/>
      <c r="I3052" s="69"/>
      <c r="J3052" s="69"/>
      <c r="K3052" s="69"/>
      <c r="L3052" s="69"/>
      <c r="M3052" s="69"/>
      <c r="N3052" s="69"/>
      <c r="O3052" s="69"/>
      <c r="P3052" s="69"/>
      <c r="Q3052" s="69"/>
      <c r="R3052" s="69"/>
      <c r="S3052" s="69"/>
      <c r="T3052" s="69"/>
      <c r="U3052" s="69"/>
      <c r="V3052" s="69"/>
      <c r="W3052" s="69"/>
    </row>
    <row r="3053" spans="7:23" x14ac:dyDescent="0.3">
      <c r="G3053" s="69"/>
      <c r="H3053" s="69"/>
      <c r="I3053" s="69"/>
      <c r="J3053" s="69"/>
      <c r="K3053" s="69"/>
      <c r="L3053" s="69"/>
      <c r="M3053" s="69"/>
      <c r="N3053" s="69"/>
      <c r="O3053" s="69"/>
      <c r="P3053" s="69"/>
      <c r="Q3053" s="69"/>
      <c r="R3053" s="69"/>
      <c r="S3053" s="69"/>
      <c r="T3053" s="69"/>
      <c r="U3053" s="69"/>
      <c r="V3053" s="69"/>
      <c r="W3053" s="69"/>
    </row>
    <row r="3054" spans="7:23" x14ac:dyDescent="0.3">
      <c r="G3054" s="69"/>
      <c r="H3054" s="69"/>
      <c r="I3054" s="69"/>
      <c r="J3054" s="69"/>
      <c r="K3054" s="69"/>
      <c r="L3054" s="69"/>
      <c r="M3054" s="69"/>
      <c r="N3054" s="69"/>
      <c r="O3054" s="69"/>
      <c r="P3054" s="69"/>
      <c r="Q3054" s="69"/>
      <c r="R3054" s="69"/>
      <c r="S3054" s="69"/>
      <c r="T3054" s="69"/>
      <c r="U3054" s="69"/>
      <c r="V3054" s="69"/>
      <c r="W3054" s="69"/>
    </row>
    <row r="3055" spans="7:23" x14ac:dyDescent="0.3">
      <c r="G3055" s="69"/>
      <c r="H3055" s="69"/>
      <c r="I3055" s="69"/>
      <c r="J3055" s="69"/>
      <c r="K3055" s="69"/>
      <c r="L3055" s="69"/>
      <c r="M3055" s="69"/>
      <c r="N3055" s="69"/>
      <c r="O3055" s="69"/>
      <c r="P3055" s="69"/>
      <c r="Q3055" s="69"/>
      <c r="R3055" s="69"/>
      <c r="S3055" s="69"/>
      <c r="T3055" s="69"/>
      <c r="U3055" s="69"/>
      <c r="V3055" s="69"/>
      <c r="W3055" s="69"/>
    </row>
    <row r="3056" spans="7:23" x14ac:dyDescent="0.3">
      <c r="G3056" s="69"/>
      <c r="H3056" s="69"/>
      <c r="I3056" s="69"/>
      <c r="J3056" s="69"/>
      <c r="K3056" s="69"/>
      <c r="L3056" s="69"/>
      <c r="M3056" s="69"/>
      <c r="N3056" s="69"/>
      <c r="O3056" s="69"/>
      <c r="P3056" s="69"/>
      <c r="Q3056" s="69"/>
      <c r="R3056" s="69"/>
      <c r="S3056" s="69"/>
      <c r="T3056" s="69"/>
      <c r="U3056" s="69"/>
      <c r="V3056" s="69"/>
      <c r="W3056" s="69"/>
    </row>
    <row r="3057" spans="1:23" x14ac:dyDescent="0.3">
      <c r="G3057" s="69"/>
      <c r="H3057" s="69"/>
      <c r="I3057" s="69"/>
      <c r="J3057" s="69"/>
      <c r="K3057" s="69"/>
      <c r="L3057" s="69"/>
      <c r="M3057" s="69"/>
      <c r="N3057" s="69"/>
      <c r="O3057" s="69"/>
      <c r="P3057" s="69"/>
      <c r="Q3057" s="69"/>
      <c r="R3057" s="69"/>
      <c r="S3057" s="69"/>
      <c r="T3057" s="69"/>
      <c r="U3057" s="69"/>
      <c r="V3057" s="69"/>
      <c r="W3057" s="69"/>
    </row>
    <row r="3058" spans="1:23" x14ac:dyDescent="0.3">
      <c r="G3058" s="69"/>
      <c r="H3058" s="69"/>
      <c r="I3058" s="69"/>
      <c r="J3058" s="69"/>
      <c r="K3058" s="69"/>
      <c r="L3058" s="69"/>
      <c r="M3058" s="69"/>
      <c r="N3058" s="69"/>
      <c r="O3058" s="69"/>
      <c r="P3058" s="69"/>
      <c r="Q3058" s="69"/>
      <c r="R3058" s="69"/>
      <c r="S3058" s="69"/>
      <c r="T3058" s="69"/>
      <c r="U3058" s="69"/>
      <c r="V3058" s="69"/>
      <c r="W3058" s="69"/>
    </row>
    <row r="3059" spans="1:23" x14ac:dyDescent="0.3">
      <c r="G3059" s="69"/>
      <c r="H3059" s="69"/>
      <c r="I3059" s="69"/>
      <c r="J3059" s="69"/>
      <c r="K3059" s="69"/>
      <c r="L3059" s="69"/>
      <c r="M3059" s="69"/>
      <c r="N3059" s="69"/>
      <c r="O3059" s="69"/>
      <c r="P3059" s="69"/>
      <c r="Q3059" s="69"/>
      <c r="R3059" s="69"/>
      <c r="S3059" s="69"/>
      <c r="T3059" s="69"/>
      <c r="U3059" s="69"/>
      <c r="V3059" s="69"/>
      <c r="W3059" s="69"/>
    </row>
    <row r="3060" spans="1:23" ht="21" x14ac:dyDescent="0.4">
      <c r="A3060" s="48"/>
      <c r="G3060" s="69"/>
      <c r="H3060" s="69"/>
      <c r="I3060" s="69"/>
      <c r="J3060" s="69"/>
      <c r="K3060" s="69"/>
      <c r="L3060" s="69"/>
      <c r="M3060" s="69"/>
      <c r="N3060" s="69"/>
      <c r="O3060" s="69"/>
      <c r="P3060" s="69"/>
      <c r="Q3060" s="69"/>
      <c r="R3060" s="69"/>
      <c r="S3060" s="69"/>
      <c r="T3060" s="69"/>
      <c r="U3060" s="69"/>
      <c r="V3060" s="69"/>
      <c r="W3060" s="69"/>
    </row>
    <row r="3061" spans="1:23" x14ac:dyDescent="0.3">
      <c r="G3061" s="69"/>
      <c r="H3061" s="69"/>
      <c r="I3061" s="69"/>
      <c r="J3061" s="69"/>
      <c r="K3061" s="69"/>
      <c r="L3061" s="69"/>
      <c r="M3061" s="69"/>
      <c r="N3061" s="69"/>
      <c r="O3061" s="69"/>
      <c r="P3061" s="69"/>
      <c r="Q3061" s="69"/>
      <c r="R3061" s="69"/>
      <c r="S3061" s="69"/>
      <c r="T3061" s="69"/>
      <c r="U3061" s="69"/>
      <c r="V3061" s="69"/>
      <c r="W3061" s="69"/>
    </row>
    <row r="3062" spans="1:23" x14ac:dyDescent="0.3">
      <c r="G3062" s="69"/>
      <c r="H3062" s="69"/>
      <c r="I3062" s="69"/>
      <c r="J3062" s="69"/>
      <c r="K3062" s="69"/>
      <c r="L3062" s="69"/>
      <c r="M3062" s="69"/>
      <c r="N3062" s="69"/>
      <c r="O3062" s="69"/>
      <c r="P3062" s="69"/>
      <c r="Q3062" s="69"/>
      <c r="R3062" s="69"/>
      <c r="S3062" s="69"/>
      <c r="T3062" s="69"/>
      <c r="U3062" s="69"/>
      <c r="V3062" s="69"/>
      <c r="W3062" s="69"/>
    </row>
    <row r="3063" spans="1:23" x14ac:dyDescent="0.3">
      <c r="G3063" s="69"/>
      <c r="H3063" s="69"/>
      <c r="I3063" s="69"/>
      <c r="J3063" s="69"/>
      <c r="K3063" s="69"/>
      <c r="L3063" s="69"/>
      <c r="M3063" s="69"/>
      <c r="N3063" s="69"/>
      <c r="O3063" s="69"/>
      <c r="P3063" s="69"/>
      <c r="Q3063" s="69"/>
      <c r="R3063" s="69"/>
      <c r="S3063" s="69"/>
      <c r="T3063" s="69"/>
      <c r="U3063" s="69"/>
      <c r="V3063" s="69"/>
      <c r="W3063" s="69"/>
    </row>
    <row r="3064" spans="1:23" x14ac:dyDescent="0.3">
      <c r="G3064" s="69"/>
      <c r="H3064" s="69"/>
      <c r="I3064" s="69"/>
      <c r="J3064" s="69"/>
      <c r="K3064" s="69"/>
      <c r="L3064" s="69"/>
      <c r="M3064" s="69"/>
      <c r="N3064" s="69"/>
      <c r="O3064" s="69"/>
      <c r="P3064" s="69"/>
      <c r="Q3064" s="69"/>
      <c r="R3064" s="69"/>
      <c r="S3064" s="69"/>
      <c r="T3064" s="69"/>
      <c r="U3064" s="69"/>
      <c r="V3064" s="69"/>
      <c r="W3064" s="69"/>
    </row>
    <row r="3065" spans="1:23" x14ac:dyDescent="0.3">
      <c r="G3065" s="69"/>
      <c r="H3065" s="69"/>
      <c r="I3065" s="69"/>
      <c r="J3065" s="69"/>
      <c r="K3065" s="69"/>
      <c r="L3065" s="69"/>
      <c r="M3065" s="69"/>
      <c r="N3065" s="69"/>
      <c r="O3065" s="69"/>
      <c r="P3065" s="69"/>
      <c r="Q3065" s="69"/>
      <c r="R3065" s="69"/>
      <c r="S3065" s="69"/>
      <c r="T3065" s="69"/>
      <c r="U3065" s="69"/>
      <c r="V3065" s="69"/>
      <c r="W3065" s="69"/>
    </row>
    <row r="3066" spans="1:23" x14ac:dyDescent="0.3">
      <c r="G3066" s="69"/>
      <c r="H3066" s="69"/>
      <c r="I3066" s="69"/>
      <c r="J3066" s="69"/>
      <c r="K3066" s="69"/>
      <c r="L3066" s="69"/>
      <c r="M3066" s="69"/>
      <c r="N3066" s="69"/>
      <c r="O3066" s="69"/>
      <c r="P3066" s="69"/>
      <c r="Q3066" s="69"/>
      <c r="R3066" s="69"/>
      <c r="S3066" s="69"/>
      <c r="T3066" s="69"/>
      <c r="U3066" s="69"/>
      <c r="V3066" s="69"/>
      <c r="W3066" s="69"/>
    </row>
    <row r="3067" spans="1:23" x14ac:dyDescent="0.3">
      <c r="G3067" s="69"/>
      <c r="H3067" s="69"/>
      <c r="I3067" s="69"/>
      <c r="J3067" s="69"/>
      <c r="K3067" s="69"/>
      <c r="L3067" s="69"/>
      <c r="M3067" s="69"/>
      <c r="N3067" s="69"/>
      <c r="O3067" s="69"/>
      <c r="P3067" s="69"/>
      <c r="Q3067" s="69"/>
      <c r="R3067" s="69"/>
      <c r="S3067" s="69"/>
      <c r="T3067" s="69"/>
      <c r="U3067" s="69"/>
      <c r="V3067" s="69"/>
      <c r="W3067" s="69"/>
    </row>
    <row r="3068" spans="1:23" x14ac:dyDescent="0.3">
      <c r="G3068" s="69"/>
      <c r="H3068" s="69"/>
      <c r="I3068" s="69"/>
      <c r="J3068" s="69"/>
      <c r="K3068" s="69"/>
      <c r="L3068" s="69"/>
      <c r="M3068" s="69"/>
      <c r="N3068" s="69"/>
      <c r="O3068" s="69"/>
      <c r="P3068" s="69"/>
      <c r="Q3068" s="69"/>
      <c r="R3068" s="69"/>
      <c r="S3068" s="69"/>
      <c r="T3068" s="69"/>
      <c r="U3068" s="69"/>
      <c r="V3068" s="69"/>
      <c r="W3068" s="69"/>
    </row>
    <row r="3069" spans="1:23" x14ac:dyDescent="0.3">
      <c r="G3069" s="69"/>
      <c r="H3069" s="69"/>
      <c r="I3069" s="69"/>
      <c r="J3069" s="69"/>
      <c r="K3069" s="69"/>
      <c r="L3069" s="69"/>
      <c r="M3069" s="69"/>
      <c r="N3069" s="69"/>
      <c r="O3069" s="69"/>
      <c r="P3069" s="69"/>
      <c r="Q3069" s="69"/>
      <c r="R3069" s="69"/>
      <c r="S3069" s="69"/>
      <c r="T3069" s="69"/>
      <c r="U3069" s="69"/>
      <c r="V3069" s="69"/>
      <c r="W3069" s="69"/>
    </row>
    <row r="3070" spans="1:23" x14ac:dyDescent="0.3">
      <c r="G3070" s="69"/>
      <c r="H3070" s="69"/>
      <c r="I3070" s="69"/>
      <c r="J3070" s="69"/>
      <c r="K3070" s="69"/>
      <c r="L3070" s="69"/>
      <c r="M3070" s="69"/>
      <c r="N3070" s="69"/>
      <c r="O3070" s="69"/>
      <c r="P3070" s="69"/>
      <c r="Q3070" s="69"/>
      <c r="R3070" s="69"/>
      <c r="S3070" s="69"/>
      <c r="T3070" s="69"/>
      <c r="U3070" s="69"/>
      <c r="V3070" s="69"/>
      <c r="W3070" s="69"/>
    </row>
    <row r="3071" spans="1:23" x14ac:dyDescent="0.3">
      <c r="G3071" s="69"/>
      <c r="H3071" s="69"/>
      <c r="I3071" s="69"/>
      <c r="J3071" s="69"/>
      <c r="K3071" s="69"/>
      <c r="L3071" s="69"/>
      <c r="M3071" s="69"/>
      <c r="N3071" s="69"/>
      <c r="O3071" s="69"/>
      <c r="P3071" s="69"/>
      <c r="Q3071" s="69"/>
      <c r="R3071" s="69"/>
      <c r="S3071" s="69"/>
      <c r="T3071" s="69"/>
      <c r="U3071" s="69"/>
      <c r="V3071" s="69"/>
      <c r="W3071" s="69"/>
    </row>
    <row r="3072" spans="1:23" x14ac:dyDescent="0.3">
      <c r="G3072" s="69"/>
      <c r="H3072" s="69"/>
      <c r="I3072" s="69"/>
      <c r="J3072" s="69"/>
      <c r="K3072" s="69"/>
      <c r="L3072" s="69"/>
      <c r="M3072" s="69"/>
      <c r="N3072" s="69"/>
      <c r="O3072" s="69"/>
      <c r="P3072" s="69"/>
      <c r="Q3072" s="69"/>
      <c r="R3072" s="69"/>
      <c r="S3072" s="69"/>
      <c r="T3072" s="69"/>
      <c r="U3072" s="69"/>
      <c r="V3072" s="69"/>
      <c r="W3072" s="69"/>
    </row>
    <row r="3073" spans="7:23" x14ac:dyDescent="0.3">
      <c r="G3073" s="69"/>
      <c r="H3073" s="69"/>
      <c r="I3073" s="69"/>
      <c r="J3073" s="69"/>
      <c r="K3073" s="69"/>
      <c r="L3073" s="69"/>
      <c r="M3073" s="69"/>
      <c r="N3073" s="69"/>
      <c r="O3073" s="69"/>
      <c r="P3073" s="69"/>
      <c r="Q3073" s="69"/>
      <c r="R3073" s="69"/>
      <c r="S3073" s="69"/>
      <c r="T3073" s="69"/>
      <c r="U3073" s="69"/>
      <c r="V3073" s="69"/>
      <c r="W3073" s="69"/>
    </row>
    <row r="3074" spans="7:23" x14ac:dyDescent="0.3">
      <c r="G3074" s="69"/>
      <c r="H3074" s="69"/>
      <c r="I3074" s="69"/>
      <c r="J3074" s="69"/>
      <c r="K3074" s="69"/>
      <c r="L3074" s="69"/>
      <c r="M3074" s="69"/>
      <c r="N3074" s="69"/>
      <c r="O3074" s="69"/>
      <c r="P3074" s="69"/>
      <c r="Q3074" s="69"/>
      <c r="R3074" s="69"/>
      <c r="S3074" s="69"/>
      <c r="T3074" s="69"/>
      <c r="U3074" s="69"/>
      <c r="V3074" s="69"/>
      <c r="W3074" s="69"/>
    </row>
    <row r="3075" spans="7:23" x14ac:dyDescent="0.3">
      <c r="G3075" s="69"/>
      <c r="H3075" s="69"/>
      <c r="I3075" s="69"/>
      <c r="J3075" s="69"/>
      <c r="K3075" s="69"/>
      <c r="L3075" s="69"/>
      <c r="M3075" s="69"/>
      <c r="N3075" s="69"/>
      <c r="O3075" s="69"/>
      <c r="P3075" s="69"/>
      <c r="Q3075" s="69"/>
      <c r="R3075" s="69"/>
      <c r="S3075" s="69"/>
      <c r="T3075" s="69"/>
      <c r="U3075" s="69"/>
      <c r="V3075" s="69"/>
      <c r="W3075" s="69"/>
    </row>
    <row r="3076" spans="7:23" x14ac:dyDescent="0.3">
      <c r="G3076" s="69"/>
      <c r="H3076" s="69"/>
      <c r="I3076" s="69"/>
      <c r="J3076" s="69"/>
      <c r="K3076" s="69"/>
      <c r="L3076" s="69"/>
      <c r="M3076" s="69"/>
      <c r="N3076" s="69"/>
      <c r="O3076" s="69"/>
      <c r="P3076" s="69"/>
      <c r="Q3076" s="69"/>
      <c r="R3076" s="69"/>
      <c r="S3076" s="69"/>
      <c r="T3076" s="69"/>
      <c r="U3076" s="69"/>
      <c r="V3076" s="69"/>
      <c r="W3076" s="69"/>
    </row>
    <row r="3077" spans="7:23" x14ac:dyDescent="0.3">
      <c r="G3077" s="69"/>
      <c r="H3077" s="69"/>
      <c r="I3077" s="69"/>
      <c r="J3077" s="69"/>
      <c r="K3077" s="69"/>
      <c r="L3077" s="69"/>
      <c r="M3077" s="69"/>
      <c r="N3077" s="69"/>
      <c r="O3077" s="69"/>
      <c r="P3077" s="69"/>
      <c r="Q3077" s="69"/>
      <c r="R3077" s="69"/>
      <c r="S3077" s="69"/>
      <c r="T3077" s="69"/>
      <c r="U3077" s="69"/>
      <c r="V3077" s="69"/>
      <c r="W3077" s="69"/>
    </row>
    <row r="3078" spans="7:23" x14ac:dyDescent="0.3">
      <c r="G3078" s="69"/>
      <c r="H3078" s="69"/>
      <c r="I3078" s="69"/>
      <c r="J3078" s="69"/>
      <c r="K3078" s="69"/>
      <c r="L3078" s="69"/>
      <c r="M3078" s="69"/>
      <c r="N3078" s="69"/>
      <c r="O3078" s="69"/>
      <c r="P3078" s="69"/>
      <c r="Q3078" s="69"/>
      <c r="R3078" s="69"/>
      <c r="S3078" s="69"/>
      <c r="T3078" s="69"/>
      <c r="U3078" s="69"/>
      <c r="V3078" s="69"/>
      <c r="W3078" s="69"/>
    </row>
    <row r="3079" spans="7:23" x14ac:dyDescent="0.3">
      <c r="G3079" s="69"/>
      <c r="H3079" s="69"/>
      <c r="I3079" s="69"/>
      <c r="J3079" s="69"/>
      <c r="K3079" s="69"/>
      <c r="L3079" s="69"/>
      <c r="M3079" s="69"/>
      <c r="N3079" s="69"/>
      <c r="O3079" s="69"/>
      <c r="P3079" s="69"/>
      <c r="Q3079" s="69"/>
      <c r="R3079" s="69"/>
      <c r="S3079" s="69"/>
      <c r="T3079" s="69"/>
      <c r="U3079" s="69"/>
      <c r="V3079" s="69"/>
      <c r="W3079" s="69"/>
    </row>
    <row r="3080" spans="7:23" x14ac:dyDescent="0.3">
      <c r="G3080" s="69"/>
      <c r="H3080" s="69"/>
      <c r="I3080" s="69"/>
      <c r="J3080" s="69"/>
      <c r="K3080" s="69"/>
      <c r="L3080" s="69"/>
      <c r="M3080" s="69"/>
      <c r="N3080" s="69"/>
      <c r="O3080" s="69"/>
      <c r="P3080" s="69"/>
      <c r="Q3080" s="69"/>
      <c r="R3080" s="69"/>
      <c r="S3080" s="69"/>
      <c r="T3080" s="69"/>
      <c r="U3080" s="69"/>
      <c r="V3080" s="69"/>
      <c r="W3080" s="69"/>
    </row>
    <row r="3081" spans="7:23" x14ac:dyDescent="0.3">
      <c r="G3081" s="69"/>
      <c r="H3081" s="69"/>
      <c r="I3081" s="69"/>
      <c r="J3081" s="69"/>
      <c r="K3081" s="69"/>
      <c r="L3081" s="69"/>
      <c r="M3081" s="69"/>
      <c r="N3081" s="69"/>
      <c r="O3081" s="69"/>
      <c r="P3081" s="69"/>
      <c r="Q3081" s="69"/>
      <c r="R3081" s="69"/>
      <c r="S3081" s="69"/>
      <c r="T3081" s="69"/>
      <c r="U3081" s="69"/>
      <c r="V3081" s="69"/>
      <c r="W3081" s="69"/>
    </row>
    <row r="3082" spans="7:23" x14ac:dyDescent="0.3">
      <c r="G3082" s="69"/>
      <c r="H3082" s="69"/>
      <c r="I3082" s="69"/>
      <c r="J3082" s="69"/>
      <c r="K3082" s="69"/>
      <c r="L3082" s="69"/>
      <c r="M3082" s="69"/>
      <c r="N3082" s="69"/>
      <c r="O3082" s="69"/>
      <c r="P3082" s="69"/>
      <c r="Q3082" s="69"/>
      <c r="R3082" s="69"/>
      <c r="S3082" s="69"/>
      <c r="T3082" s="69"/>
      <c r="U3082" s="69"/>
      <c r="V3082" s="69"/>
      <c r="W3082" s="69"/>
    </row>
    <row r="3083" spans="7:23" x14ac:dyDescent="0.3">
      <c r="G3083" s="69"/>
      <c r="H3083" s="69"/>
      <c r="I3083" s="69"/>
      <c r="J3083" s="69"/>
      <c r="K3083" s="69"/>
      <c r="L3083" s="69"/>
      <c r="M3083" s="69"/>
      <c r="N3083" s="69"/>
      <c r="O3083" s="69"/>
      <c r="P3083" s="69"/>
      <c r="Q3083" s="69"/>
      <c r="R3083" s="69"/>
      <c r="S3083" s="69"/>
      <c r="T3083" s="69"/>
      <c r="U3083" s="69"/>
      <c r="V3083" s="69"/>
      <c r="W3083" s="69"/>
    </row>
    <row r="3084" spans="7:23" x14ac:dyDescent="0.3">
      <c r="G3084" s="69"/>
      <c r="H3084" s="69"/>
      <c r="I3084" s="69"/>
      <c r="J3084" s="69"/>
      <c r="K3084" s="69"/>
      <c r="L3084" s="69"/>
      <c r="M3084" s="69"/>
      <c r="N3084" s="69"/>
      <c r="O3084" s="69"/>
      <c r="P3084" s="69"/>
      <c r="Q3084" s="69"/>
      <c r="R3084" s="69"/>
      <c r="S3084" s="69"/>
      <c r="T3084" s="69"/>
      <c r="U3084" s="69"/>
      <c r="V3084" s="69"/>
      <c r="W3084" s="69"/>
    </row>
    <row r="3085" spans="7:23" x14ac:dyDescent="0.3">
      <c r="G3085" s="69"/>
      <c r="H3085" s="69"/>
      <c r="I3085" s="69"/>
      <c r="J3085" s="69"/>
      <c r="K3085" s="69"/>
      <c r="L3085" s="69"/>
      <c r="M3085" s="69"/>
      <c r="N3085" s="69"/>
      <c r="O3085" s="69"/>
      <c r="P3085" s="69"/>
      <c r="Q3085" s="69"/>
      <c r="R3085" s="69"/>
      <c r="S3085" s="69"/>
      <c r="T3085" s="69"/>
      <c r="U3085" s="69"/>
      <c r="V3085" s="69"/>
      <c r="W3085" s="69"/>
    </row>
    <row r="3086" spans="7:23" x14ac:dyDescent="0.3">
      <c r="G3086" s="69"/>
      <c r="H3086" s="69"/>
      <c r="I3086" s="69"/>
      <c r="J3086" s="69"/>
      <c r="K3086" s="69"/>
      <c r="L3086" s="69"/>
      <c r="M3086" s="69"/>
      <c r="N3086" s="69"/>
      <c r="O3086" s="69"/>
      <c r="P3086" s="69"/>
      <c r="Q3086" s="69"/>
      <c r="R3086" s="69"/>
      <c r="S3086" s="69"/>
      <c r="T3086" s="69"/>
      <c r="U3086" s="69"/>
      <c r="V3086" s="69"/>
      <c r="W3086" s="69"/>
    </row>
    <row r="3087" spans="7:23" x14ac:dyDescent="0.3">
      <c r="G3087" s="69"/>
      <c r="H3087" s="69"/>
      <c r="I3087" s="69"/>
      <c r="J3087" s="69"/>
      <c r="K3087" s="69"/>
      <c r="L3087" s="69"/>
      <c r="M3087" s="69"/>
      <c r="N3087" s="69"/>
      <c r="O3087" s="69"/>
      <c r="P3087" s="69"/>
      <c r="Q3087" s="69"/>
      <c r="R3087" s="69"/>
      <c r="S3087" s="69"/>
      <c r="T3087" s="69"/>
      <c r="U3087" s="69"/>
      <c r="V3087" s="69"/>
      <c r="W3087" s="69"/>
    </row>
    <row r="3088" spans="7:23" x14ac:dyDescent="0.3">
      <c r="G3088" s="69"/>
      <c r="H3088" s="69"/>
      <c r="I3088" s="69"/>
      <c r="J3088" s="69"/>
      <c r="K3088" s="69"/>
      <c r="L3088" s="69"/>
      <c r="M3088" s="69"/>
      <c r="N3088" s="69"/>
      <c r="O3088" s="69"/>
      <c r="P3088" s="69"/>
      <c r="Q3088" s="69"/>
      <c r="R3088" s="69"/>
      <c r="S3088" s="69"/>
      <c r="T3088" s="69"/>
      <c r="U3088" s="69"/>
      <c r="V3088" s="69"/>
      <c r="W3088" s="69"/>
    </row>
    <row r="3089" spans="7:23" x14ac:dyDescent="0.3">
      <c r="G3089" s="69"/>
      <c r="H3089" s="69"/>
      <c r="I3089" s="69"/>
      <c r="J3089" s="69"/>
      <c r="K3089" s="69"/>
      <c r="L3089" s="69"/>
      <c r="M3089" s="69"/>
      <c r="N3089" s="69"/>
      <c r="O3089" s="69"/>
      <c r="P3089" s="69"/>
      <c r="Q3089" s="69"/>
      <c r="R3089" s="69"/>
      <c r="S3089" s="69"/>
      <c r="T3089" s="69"/>
      <c r="U3089" s="69"/>
      <c r="V3089" s="69"/>
      <c r="W3089" s="69"/>
    </row>
    <row r="3090" spans="7:23" x14ac:dyDescent="0.3">
      <c r="G3090" s="69"/>
      <c r="H3090" s="69"/>
      <c r="I3090" s="69"/>
      <c r="J3090" s="69"/>
      <c r="K3090" s="69"/>
      <c r="L3090" s="69"/>
      <c r="M3090" s="69"/>
      <c r="N3090" s="69"/>
      <c r="O3090" s="69"/>
      <c r="P3090" s="69"/>
      <c r="Q3090" s="69"/>
      <c r="R3090" s="69"/>
      <c r="S3090" s="69"/>
      <c r="T3090" s="69"/>
      <c r="U3090" s="69"/>
      <c r="V3090" s="69"/>
      <c r="W3090" s="69"/>
    </row>
    <row r="3091" spans="7:23" x14ac:dyDescent="0.3">
      <c r="G3091" s="69"/>
      <c r="H3091" s="69"/>
      <c r="I3091" s="69"/>
      <c r="J3091" s="69"/>
      <c r="K3091" s="69"/>
      <c r="L3091" s="69"/>
      <c r="M3091" s="69"/>
      <c r="N3091" s="69"/>
      <c r="O3091" s="69"/>
      <c r="P3091" s="69"/>
      <c r="Q3091" s="69"/>
      <c r="R3091" s="69"/>
      <c r="S3091" s="69"/>
      <c r="T3091" s="69"/>
      <c r="U3091" s="69"/>
      <c r="V3091" s="69"/>
      <c r="W3091" s="69"/>
    </row>
    <row r="3092" spans="7:23" x14ac:dyDescent="0.3">
      <c r="G3092" s="69"/>
      <c r="H3092" s="69"/>
      <c r="I3092" s="69"/>
      <c r="J3092" s="69"/>
      <c r="K3092" s="69"/>
      <c r="L3092" s="69"/>
      <c r="M3092" s="69"/>
      <c r="N3092" s="69"/>
      <c r="O3092" s="69"/>
      <c r="P3092" s="69"/>
      <c r="Q3092" s="69"/>
      <c r="R3092" s="69"/>
      <c r="S3092" s="69"/>
      <c r="T3092" s="69"/>
      <c r="U3092" s="69"/>
      <c r="V3092" s="69"/>
      <c r="W3092" s="69"/>
    </row>
    <row r="3093" spans="7:23" x14ac:dyDescent="0.3">
      <c r="G3093" s="69"/>
      <c r="H3093" s="69"/>
      <c r="I3093" s="69"/>
      <c r="J3093" s="69"/>
      <c r="K3093" s="69"/>
      <c r="L3093" s="69"/>
      <c r="M3093" s="69"/>
      <c r="N3093" s="69"/>
      <c r="O3093" s="69"/>
      <c r="P3093" s="69"/>
      <c r="Q3093" s="69"/>
      <c r="R3093" s="69"/>
      <c r="S3093" s="69"/>
      <c r="T3093" s="69"/>
      <c r="U3093" s="69"/>
      <c r="V3093" s="69"/>
      <c r="W3093" s="69"/>
    </row>
    <row r="3094" spans="7:23" x14ac:dyDescent="0.3">
      <c r="G3094" s="69"/>
      <c r="H3094" s="69"/>
      <c r="I3094" s="69"/>
      <c r="J3094" s="69"/>
      <c r="K3094" s="69"/>
      <c r="L3094" s="69"/>
      <c r="M3094" s="69"/>
      <c r="N3094" s="69"/>
      <c r="O3094" s="69"/>
      <c r="P3094" s="69"/>
      <c r="Q3094" s="69"/>
      <c r="R3094" s="69"/>
      <c r="S3094" s="69"/>
      <c r="T3094" s="69"/>
      <c r="U3094" s="69"/>
      <c r="V3094" s="69"/>
      <c r="W3094" s="69"/>
    </row>
    <row r="3095" spans="7:23" x14ac:dyDescent="0.3">
      <c r="G3095" s="69"/>
      <c r="H3095" s="69"/>
      <c r="I3095" s="69"/>
      <c r="J3095" s="69"/>
      <c r="K3095" s="69"/>
      <c r="L3095" s="69"/>
      <c r="M3095" s="69"/>
      <c r="N3095" s="69"/>
      <c r="O3095" s="69"/>
      <c r="P3095" s="69"/>
      <c r="Q3095" s="69"/>
      <c r="R3095" s="69"/>
      <c r="S3095" s="69"/>
      <c r="T3095" s="69"/>
      <c r="U3095" s="69"/>
      <c r="V3095" s="69"/>
      <c r="W3095" s="69"/>
    </row>
    <row r="3096" spans="7:23" x14ac:dyDescent="0.3">
      <c r="G3096" s="69"/>
      <c r="H3096" s="69"/>
      <c r="I3096" s="69"/>
      <c r="J3096" s="69"/>
      <c r="K3096" s="69"/>
      <c r="L3096" s="69"/>
      <c r="M3096" s="69"/>
      <c r="N3096" s="69"/>
      <c r="O3096" s="69"/>
      <c r="P3096" s="69"/>
      <c r="Q3096" s="69"/>
      <c r="R3096" s="69"/>
      <c r="S3096" s="69"/>
      <c r="T3096" s="69"/>
      <c r="U3096" s="69"/>
      <c r="V3096" s="69"/>
      <c r="W3096" s="69"/>
    </row>
    <row r="3097" spans="7:23" x14ac:dyDescent="0.3">
      <c r="G3097" s="69"/>
      <c r="H3097" s="69"/>
      <c r="I3097" s="69"/>
      <c r="J3097" s="69"/>
      <c r="K3097" s="69"/>
      <c r="L3097" s="69"/>
      <c r="M3097" s="69"/>
      <c r="N3097" s="69"/>
      <c r="O3097" s="69"/>
      <c r="P3097" s="69"/>
      <c r="Q3097" s="69"/>
      <c r="R3097" s="69"/>
      <c r="S3097" s="69"/>
      <c r="T3097" s="69"/>
      <c r="U3097" s="69"/>
      <c r="V3097" s="69"/>
      <c r="W3097" s="69"/>
    </row>
    <row r="3098" spans="7:23" x14ac:dyDescent="0.3">
      <c r="G3098" s="69"/>
      <c r="H3098" s="69"/>
      <c r="I3098" s="69"/>
      <c r="J3098" s="69"/>
      <c r="K3098" s="69"/>
      <c r="L3098" s="69"/>
      <c r="M3098" s="69"/>
      <c r="N3098" s="69"/>
      <c r="O3098" s="69"/>
      <c r="P3098" s="69"/>
      <c r="Q3098" s="69"/>
      <c r="R3098" s="69"/>
      <c r="S3098" s="69"/>
      <c r="T3098" s="69"/>
      <c r="U3098" s="69"/>
      <c r="V3098" s="69"/>
      <c r="W3098" s="69"/>
    </row>
    <row r="3099" spans="7:23" x14ac:dyDescent="0.3">
      <c r="G3099" s="69"/>
      <c r="H3099" s="69"/>
      <c r="I3099" s="69"/>
      <c r="J3099" s="69"/>
      <c r="K3099" s="69"/>
      <c r="L3099" s="69"/>
      <c r="M3099" s="69"/>
      <c r="N3099" s="69"/>
      <c r="O3099" s="69"/>
      <c r="P3099" s="69"/>
      <c r="Q3099" s="69"/>
      <c r="R3099" s="69"/>
      <c r="S3099" s="69"/>
      <c r="T3099" s="69"/>
      <c r="U3099" s="69"/>
      <c r="V3099" s="69"/>
      <c r="W3099" s="69"/>
    </row>
    <row r="3100" spans="7:23" x14ac:dyDescent="0.3">
      <c r="G3100" s="69"/>
      <c r="H3100" s="69"/>
      <c r="I3100" s="69"/>
      <c r="J3100" s="69"/>
      <c r="K3100" s="69"/>
      <c r="L3100" s="69"/>
      <c r="M3100" s="69"/>
      <c r="N3100" s="69"/>
      <c r="O3100" s="69"/>
      <c r="P3100" s="69"/>
      <c r="Q3100" s="69"/>
      <c r="R3100" s="69"/>
      <c r="S3100" s="69"/>
      <c r="T3100" s="69"/>
      <c r="U3100" s="69"/>
      <c r="V3100" s="69"/>
      <c r="W3100" s="69"/>
    </row>
    <row r="3101" spans="7:23" x14ac:dyDescent="0.3">
      <c r="G3101" s="69"/>
      <c r="H3101" s="69"/>
      <c r="I3101" s="69"/>
      <c r="J3101" s="69"/>
      <c r="K3101" s="69"/>
      <c r="L3101" s="69"/>
      <c r="M3101" s="69"/>
      <c r="N3101" s="69"/>
      <c r="O3101" s="69"/>
      <c r="P3101" s="69"/>
      <c r="Q3101" s="69"/>
      <c r="R3101" s="69"/>
      <c r="S3101" s="69"/>
      <c r="T3101" s="69"/>
      <c r="U3101" s="69"/>
      <c r="V3101" s="69"/>
      <c r="W3101" s="69"/>
    </row>
    <row r="3102" spans="7:23" x14ac:dyDescent="0.3">
      <c r="G3102" s="69"/>
      <c r="H3102" s="69"/>
      <c r="I3102" s="69"/>
      <c r="J3102" s="69"/>
      <c r="K3102" s="69"/>
      <c r="L3102" s="69"/>
      <c r="M3102" s="69"/>
      <c r="N3102" s="69"/>
      <c r="O3102" s="69"/>
      <c r="P3102" s="69"/>
      <c r="Q3102" s="69"/>
      <c r="R3102" s="69"/>
      <c r="S3102" s="69"/>
      <c r="T3102" s="69"/>
      <c r="U3102" s="69"/>
      <c r="V3102" s="69"/>
      <c r="W3102" s="69"/>
    </row>
    <row r="3103" spans="7:23" x14ac:dyDescent="0.3">
      <c r="G3103" s="69"/>
      <c r="H3103" s="69"/>
      <c r="I3103" s="69"/>
      <c r="J3103" s="69"/>
      <c r="K3103" s="69"/>
      <c r="L3103" s="69"/>
      <c r="M3103" s="69"/>
      <c r="N3103" s="69"/>
      <c r="O3103" s="69"/>
      <c r="P3103" s="69"/>
      <c r="Q3103" s="69"/>
      <c r="R3103" s="69"/>
      <c r="S3103" s="69"/>
      <c r="T3103" s="69"/>
      <c r="U3103" s="69"/>
      <c r="V3103" s="69"/>
      <c r="W3103" s="69"/>
    </row>
    <row r="3104" spans="7:23" x14ac:dyDescent="0.3">
      <c r="G3104" s="69"/>
      <c r="H3104" s="69"/>
      <c r="I3104" s="69"/>
      <c r="J3104" s="69"/>
      <c r="K3104" s="69"/>
      <c r="L3104" s="69"/>
      <c r="M3104" s="69"/>
      <c r="N3104" s="69"/>
      <c r="O3104" s="69"/>
      <c r="P3104" s="69"/>
      <c r="Q3104" s="69"/>
      <c r="R3104" s="69"/>
      <c r="S3104" s="69"/>
      <c r="T3104" s="69"/>
      <c r="U3104" s="69"/>
      <c r="V3104" s="69"/>
      <c r="W3104" s="69"/>
    </row>
    <row r="3105" spans="7:23" x14ac:dyDescent="0.3">
      <c r="G3105" s="69"/>
      <c r="H3105" s="69"/>
      <c r="I3105" s="69"/>
      <c r="J3105" s="69"/>
      <c r="K3105" s="69"/>
      <c r="L3105" s="69"/>
      <c r="M3105" s="69"/>
      <c r="N3105" s="69"/>
      <c r="O3105" s="69"/>
      <c r="P3105" s="69"/>
      <c r="Q3105" s="69"/>
      <c r="R3105" s="69"/>
      <c r="S3105" s="69"/>
      <c r="T3105" s="69"/>
      <c r="U3105" s="69"/>
      <c r="V3105" s="69"/>
      <c r="W3105" s="69"/>
    </row>
    <row r="3106" spans="7:23" x14ac:dyDescent="0.3">
      <c r="G3106" s="69"/>
      <c r="H3106" s="69"/>
      <c r="I3106" s="69"/>
      <c r="J3106" s="69"/>
      <c r="K3106" s="69"/>
      <c r="L3106" s="69"/>
      <c r="M3106" s="69"/>
      <c r="N3106" s="69"/>
      <c r="O3106" s="69"/>
      <c r="P3106" s="69"/>
      <c r="Q3106" s="69"/>
      <c r="R3106" s="69"/>
      <c r="S3106" s="69"/>
      <c r="T3106" s="69"/>
      <c r="U3106" s="69"/>
      <c r="V3106" s="69"/>
      <c r="W3106" s="69"/>
    </row>
    <row r="3107" spans="7:23" x14ac:dyDescent="0.3">
      <c r="G3107" s="69"/>
      <c r="H3107" s="69"/>
      <c r="I3107" s="69"/>
      <c r="J3107" s="69"/>
      <c r="K3107" s="69"/>
      <c r="L3107" s="69"/>
      <c r="M3107" s="69"/>
      <c r="N3107" s="69"/>
      <c r="O3107" s="69"/>
      <c r="P3107" s="69"/>
      <c r="Q3107" s="69"/>
      <c r="R3107" s="69"/>
      <c r="S3107" s="69"/>
      <c r="T3107" s="69"/>
      <c r="U3107" s="69"/>
      <c r="V3107" s="69"/>
      <c r="W3107" s="69"/>
    </row>
    <row r="3108" spans="7:23" x14ac:dyDescent="0.3">
      <c r="G3108" s="69"/>
      <c r="H3108" s="69"/>
      <c r="I3108" s="69"/>
      <c r="J3108" s="69"/>
      <c r="K3108" s="69"/>
      <c r="L3108" s="69"/>
      <c r="M3108" s="69"/>
      <c r="N3108" s="69"/>
      <c r="O3108" s="69"/>
      <c r="P3108" s="69"/>
      <c r="Q3108" s="69"/>
      <c r="R3108" s="69"/>
      <c r="S3108" s="69"/>
      <c r="T3108" s="69"/>
      <c r="U3108" s="69"/>
      <c r="V3108" s="69"/>
      <c r="W3108" s="69"/>
    </row>
    <row r="3109" spans="7:23" x14ac:dyDescent="0.3">
      <c r="G3109" s="69"/>
      <c r="H3109" s="69"/>
      <c r="I3109" s="69"/>
      <c r="J3109" s="69"/>
      <c r="K3109" s="69"/>
      <c r="L3109" s="69"/>
      <c r="M3109" s="69"/>
      <c r="N3109" s="69"/>
      <c r="O3109" s="69"/>
      <c r="P3109" s="69"/>
      <c r="Q3109" s="69"/>
      <c r="R3109" s="69"/>
      <c r="S3109" s="69"/>
      <c r="T3109" s="69"/>
      <c r="U3109" s="69"/>
      <c r="V3109" s="69"/>
      <c r="W3109" s="69"/>
    </row>
    <row r="3110" spans="7:23" x14ac:dyDescent="0.3">
      <c r="G3110" s="69"/>
      <c r="H3110" s="69"/>
      <c r="I3110" s="69"/>
      <c r="J3110" s="69"/>
      <c r="K3110" s="69"/>
      <c r="L3110" s="69"/>
      <c r="M3110" s="69"/>
      <c r="N3110" s="69"/>
      <c r="O3110" s="69"/>
      <c r="P3110" s="69"/>
      <c r="Q3110" s="69"/>
      <c r="R3110" s="69"/>
      <c r="S3110" s="69"/>
      <c r="T3110" s="69"/>
      <c r="U3110" s="69"/>
      <c r="V3110" s="69"/>
      <c r="W3110" s="69"/>
    </row>
    <row r="3111" spans="7:23" x14ac:dyDescent="0.3">
      <c r="G3111" s="69"/>
      <c r="H3111" s="69"/>
      <c r="I3111" s="69"/>
      <c r="J3111" s="69"/>
      <c r="K3111" s="69"/>
      <c r="L3111" s="69"/>
      <c r="M3111" s="69"/>
      <c r="N3111" s="69"/>
      <c r="O3111" s="69"/>
      <c r="P3111" s="69"/>
      <c r="Q3111" s="69"/>
      <c r="R3111" s="69"/>
      <c r="S3111" s="69"/>
      <c r="T3111" s="69"/>
      <c r="U3111" s="69"/>
      <c r="V3111" s="69"/>
      <c r="W3111" s="69"/>
    </row>
    <row r="3112" spans="7:23" x14ac:dyDescent="0.3">
      <c r="G3112" s="69"/>
      <c r="H3112" s="69"/>
      <c r="I3112" s="69"/>
      <c r="J3112" s="69"/>
      <c r="K3112" s="69"/>
      <c r="L3112" s="69"/>
      <c r="M3112" s="69"/>
      <c r="N3112" s="69"/>
      <c r="O3112" s="69"/>
      <c r="P3112" s="69"/>
      <c r="Q3112" s="69"/>
      <c r="R3112" s="69"/>
      <c r="S3112" s="69"/>
      <c r="T3112" s="69"/>
      <c r="U3112" s="69"/>
      <c r="V3112" s="69"/>
      <c r="W3112" s="69"/>
    </row>
    <row r="3113" spans="7:23" x14ac:dyDescent="0.3">
      <c r="G3113" s="69"/>
      <c r="H3113" s="69"/>
      <c r="I3113" s="69"/>
      <c r="J3113" s="69"/>
      <c r="K3113" s="69"/>
      <c r="L3113" s="69"/>
      <c r="M3113" s="69"/>
      <c r="N3113" s="69"/>
      <c r="O3113" s="69"/>
      <c r="P3113" s="69"/>
      <c r="Q3113" s="69"/>
      <c r="R3113" s="69"/>
      <c r="S3113" s="69"/>
      <c r="T3113" s="69"/>
      <c r="U3113" s="69"/>
      <c r="V3113" s="69"/>
      <c r="W3113" s="69"/>
    </row>
    <row r="3114" spans="7:23" x14ac:dyDescent="0.3">
      <c r="G3114" s="69"/>
      <c r="H3114" s="69"/>
      <c r="I3114" s="69"/>
      <c r="J3114" s="69"/>
      <c r="K3114" s="69"/>
      <c r="L3114" s="69"/>
      <c r="M3114" s="69"/>
      <c r="N3114" s="69"/>
      <c r="O3114" s="69"/>
      <c r="P3114" s="69"/>
      <c r="Q3114" s="69"/>
      <c r="R3114" s="69"/>
      <c r="S3114" s="69"/>
      <c r="T3114" s="69"/>
      <c r="U3114" s="69"/>
      <c r="V3114" s="69"/>
      <c r="W3114" s="69"/>
    </row>
    <row r="3115" spans="7:23" x14ac:dyDescent="0.3">
      <c r="G3115" s="69"/>
      <c r="H3115" s="69"/>
      <c r="I3115" s="69"/>
      <c r="J3115" s="69"/>
      <c r="K3115" s="69"/>
      <c r="L3115" s="69"/>
      <c r="M3115" s="69"/>
      <c r="N3115" s="69"/>
      <c r="O3115" s="69"/>
      <c r="P3115" s="69"/>
      <c r="Q3115" s="69"/>
      <c r="R3115" s="69"/>
      <c r="S3115" s="69"/>
      <c r="T3115" s="69"/>
      <c r="U3115" s="69"/>
      <c r="V3115" s="69"/>
      <c r="W3115" s="69"/>
    </row>
    <row r="3116" spans="7:23" x14ac:dyDescent="0.3">
      <c r="G3116" s="69"/>
      <c r="H3116" s="69"/>
      <c r="I3116" s="69"/>
      <c r="J3116" s="69"/>
      <c r="K3116" s="69"/>
      <c r="L3116" s="69"/>
      <c r="M3116" s="69"/>
      <c r="N3116" s="69"/>
      <c r="O3116" s="69"/>
      <c r="P3116" s="69"/>
      <c r="Q3116" s="69"/>
      <c r="R3116" s="69"/>
      <c r="S3116" s="69"/>
      <c r="T3116" s="69"/>
      <c r="U3116" s="69"/>
      <c r="V3116" s="69"/>
      <c r="W3116" s="69"/>
    </row>
    <row r="3117" spans="7:23" x14ac:dyDescent="0.3">
      <c r="G3117" s="69"/>
      <c r="H3117" s="69"/>
      <c r="I3117" s="69"/>
      <c r="J3117" s="69"/>
      <c r="K3117" s="69"/>
      <c r="L3117" s="69"/>
      <c r="M3117" s="69"/>
      <c r="N3117" s="69"/>
      <c r="O3117" s="69"/>
      <c r="P3117" s="69"/>
      <c r="Q3117" s="69"/>
      <c r="R3117" s="69"/>
      <c r="S3117" s="69"/>
      <c r="T3117" s="69"/>
      <c r="U3117" s="69"/>
      <c r="V3117" s="69"/>
      <c r="W3117" s="69"/>
    </row>
    <row r="3118" spans="7:23" x14ac:dyDescent="0.3">
      <c r="G3118" s="69"/>
      <c r="H3118" s="69"/>
      <c r="I3118" s="69"/>
      <c r="J3118" s="69"/>
      <c r="K3118" s="69"/>
      <c r="L3118" s="69"/>
      <c r="M3118" s="69"/>
      <c r="N3118" s="69"/>
      <c r="O3118" s="69"/>
      <c r="P3118" s="69"/>
      <c r="Q3118" s="69"/>
      <c r="R3118" s="69"/>
      <c r="S3118" s="69"/>
      <c r="T3118" s="69"/>
      <c r="U3118" s="69"/>
      <c r="V3118" s="69"/>
      <c r="W3118" s="69"/>
    </row>
    <row r="3119" spans="7:23" x14ac:dyDescent="0.3">
      <c r="G3119" s="69"/>
      <c r="H3119" s="69"/>
      <c r="I3119" s="69"/>
      <c r="J3119" s="69"/>
      <c r="K3119" s="69"/>
      <c r="L3119" s="69"/>
      <c r="M3119" s="69"/>
      <c r="N3119" s="69"/>
      <c r="O3119" s="69"/>
      <c r="P3119" s="69"/>
      <c r="Q3119" s="69"/>
      <c r="R3119" s="69"/>
      <c r="S3119" s="69"/>
      <c r="T3119" s="69"/>
      <c r="U3119" s="69"/>
      <c r="V3119" s="69"/>
      <c r="W3119" s="69"/>
    </row>
    <row r="3120" spans="7:23" x14ac:dyDescent="0.3">
      <c r="G3120" s="69"/>
      <c r="H3120" s="69"/>
      <c r="I3120" s="69"/>
      <c r="J3120" s="69"/>
      <c r="K3120" s="69"/>
      <c r="L3120" s="69"/>
      <c r="M3120" s="69"/>
      <c r="N3120" s="69"/>
      <c r="O3120" s="69"/>
      <c r="P3120" s="69"/>
      <c r="Q3120" s="69"/>
      <c r="R3120" s="69"/>
      <c r="S3120" s="69"/>
      <c r="T3120" s="69"/>
      <c r="U3120" s="69"/>
      <c r="V3120" s="69"/>
      <c r="W3120" s="69"/>
    </row>
    <row r="3121" spans="7:23" x14ac:dyDescent="0.3">
      <c r="G3121" s="69"/>
      <c r="H3121" s="69"/>
      <c r="I3121" s="69"/>
      <c r="J3121" s="69"/>
      <c r="K3121" s="69"/>
      <c r="L3121" s="69"/>
      <c r="M3121" s="69"/>
      <c r="N3121" s="69"/>
      <c r="O3121" s="69"/>
      <c r="P3121" s="69"/>
      <c r="Q3121" s="69"/>
      <c r="R3121" s="69"/>
      <c r="S3121" s="69"/>
      <c r="T3121" s="69"/>
      <c r="U3121" s="69"/>
      <c r="V3121" s="69"/>
      <c r="W3121" s="69"/>
    </row>
    <row r="3122" spans="7:23" x14ac:dyDescent="0.3">
      <c r="G3122" s="69"/>
      <c r="H3122" s="69"/>
      <c r="I3122" s="69"/>
      <c r="J3122" s="69"/>
      <c r="K3122" s="69"/>
      <c r="L3122" s="69"/>
      <c r="M3122" s="69"/>
      <c r="N3122" s="69"/>
      <c r="O3122" s="69"/>
      <c r="P3122" s="69"/>
      <c r="Q3122" s="69"/>
      <c r="R3122" s="69"/>
      <c r="S3122" s="69"/>
      <c r="T3122" s="69"/>
      <c r="U3122" s="69"/>
      <c r="V3122" s="69"/>
      <c r="W3122" s="69"/>
    </row>
    <row r="3123" spans="7:23" x14ac:dyDescent="0.3">
      <c r="G3123" s="69"/>
      <c r="H3123" s="69"/>
      <c r="I3123" s="69"/>
      <c r="J3123" s="69"/>
      <c r="K3123" s="69"/>
      <c r="L3123" s="69"/>
      <c r="M3123" s="69"/>
      <c r="N3123" s="69"/>
      <c r="O3123" s="69"/>
      <c r="P3123" s="69"/>
      <c r="Q3123" s="69"/>
      <c r="R3123" s="69"/>
      <c r="S3123" s="69"/>
      <c r="T3123" s="69"/>
      <c r="U3123" s="69"/>
      <c r="V3123" s="69"/>
      <c r="W3123" s="69"/>
    </row>
    <row r="3124" spans="7:23" x14ac:dyDescent="0.3">
      <c r="G3124" s="69"/>
      <c r="H3124" s="69"/>
      <c r="I3124" s="69"/>
      <c r="J3124" s="69"/>
      <c r="K3124" s="69"/>
      <c r="L3124" s="69"/>
      <c r="M3124" s="69"/>
      <c r="N3124" s="69"/>
      <c r="O3124" s="69"/>
      <c r="P3124" s="69"/>
      <c r="Q3124" s="69"/>
      <c r="R3124" s="69"/>
      <c r="S3124" s="69"/>
      <c r="T3124" s="69"/>
      <c r="U3124" s="69"/>
      <c r="V3124" s="69"/>
      <c r="W3124" s="69"/>
    </row>
    <row r="3125" spans="7:23" x14ac:dyDescent="0.3">
      <c r="G3125" s="69"/>
      <c r="H3125" s="69"/>
      <c r="I3125" s="69"/>
      <c r="J3125" s="69"/>
      <c r="K3125" s="69"/>
      <c r="L3125" s="69"/>
      <c r="M3125" s="69"/>
      <c r="N3125" s="69"/>
      <c r="O3125" s="69"/>
      <c r="P3125" s="69"/>
      <c r="Q3125" s="69"/>
      <c r="R3125" s="69"/>
      <c r="S3125" s="69"/>
      <c r="T3125" s="69"/>
      <c r="U3125" s="69"/>
      <c r="V3125" s="69"/>
      <c r="W3125" s="69"/>
    </row>
    <row r="3126" spans="7:23" x14ac:dyDescent="0.3">
      <c r="G3126" s="69"/>
      <c r="H3126" s="69"/>
      <c r="I3126" s="69"/>
      <c r="J3126" s="69"/>
      <c r="K3126" s="69"/>
      <c r="L3126" s="69"/>
      <c r="M3126" s="69"/>
      <c r="N3126" s="69"/>
      <c r="O3126" s="69"/>
      <c r="P3126" s="69"/>
      <c r="Q3126" s="69"/>
      <c r="R3126" s="69"/>
      <c r="S3126" s="69"/>
      <c r="T3126" s="69"/>
      <c r="U3126" s="69"/>
      <c r="V3126" s="69"/>
      <c r="W3126" s="69"/>
    </row>
    <row r="3127" spans="7:23" x14ac:dyDescent="0.3">
      <c r="G3127" s="69"/>
      <c r="H3127" s="69"/>
      <c r="I3127" s="69"/>
      <c r="J3127" s="69"/>
      <c r="K3127" s="69"/>
      <c r="L3127" s="69"/>
      <c r="M3127" s="69"/>
      <c r="N3127" s="69"/>
      <c r="O3127" s="69"/>
      <c r="P3127" s="69"/>
      <c r="Q3127" s="69"/>
      <c r="R3127" s="69"/>
      <c r="S3127" s="69"/>
      <c r="T3127" s="69"/>
      <c r="U3127" s="69"/>
      <c r="V3127" s="69"/>
      <c r="W3127" s="69"/>
    </row>
    <row r="3128" spans="7:23" x14ac:dyDescent="0.3">
      <c r="G3128" s="69"/>
      <c r="H3128" s="69"/>
      <c r="I3128" s="69"/>
      <c r="J3128" s="69"/>
      <c r="K3128" s="69"/>
      <c r="L3128" s="69"/>
      <c r="M3128" s="69"/>
      <c r="N3128" s="69"/>
      <c r="O3128" s="69"/>
      <c r="P3128" s="69"/>
      <c r="Q3128" s="69"/>
      <c r="R3128" s="69"/>
      <c r="S3128" s="69"/>
      <c r="T3128" s="69"/>
      <c r="U3128" s="69"/>
      <c r="V3128" s="69"/>
      <c r="W3128" s="69"/>
    </row>
    <row r="3129" spans="7:23" x14ac:dyDescent="0.3">
      <c r="G3129" s="69"/>
      <c r="H3129" s="69"/>
      <c r="I3129" s="69"/>
      <c r="J3129" s="69"/>
      <c r="K3129" s="69"/>
      <c r="L3129" s="69"/>
      <c r="M3129" s="69"/>
      <c r="N3129" s="69"/>
      <c r="O3129" s="69"/>
      <c r="P3129" s="69"/>
      <c r="Q3129" s="69"/>
      <c r="R3129" s="69"/>
      <c r="S3129" s="69"/>
      <c r="T3129" s="69"/>
      <c r="U3129" s="69"/>
      <c r="V3129" s="69"/>
      <c r="W3129" s="69"/>
    </row>
    <row r="3130" spans="7:23" x14ac:dyDescent="0.3">
      <c r="G3130" s="69"/>
      <c r="H3130" s="69"/>
      <c r="I3130" s="69"/>
      <c r="J3130" s="69"/>
      <c r="K3130" s="69"/>
      <c r="L3130" s="69"/>
      <c r="M3130" s="69"/>
      <c r="N3130" s="69"/>
      <c r="O3130" s="69"/>
      <c r="P3130" s="69"/>
      <c r="Q3130" s="69"/>
      <c r="R3130" s="69"/>
      <c r="S3130" s="69"/>
      <c r="T3130" s="69"/>
      <c r="U3130" s="69"/>
      <c r="V3130" s="69"/>
      <c r="W3130" s="69"/>
    </row>
    <row r="3131" spans="7:23" x14ac:dyDescent="0.3">
      <c r="G3131" s="69"/>
      <c r="H3131" s="69"/>
      <c r="I3131" s="69"/>
      <c r="J3131" s="69"/>
      <c r="K3131" s="69"/>
      <c r="L3131" s="69"/>
      <c r="M3131" s="69"/>
      <c r="N3131" s="69"/>
      <c r="O3131" s="69"/>
      <c r="P3131" s="69"/>
      <c r="Q3131" s="69"/>
      <c r="R3131" s="69"/>
      <c r="S3131" s="69"/>
      <c r="T3131" s="69"/>
      <c r="U3131" s="69"/>
      <c r="V3131" s="69"/>
      <c r="W3131" s="69"/>
    </row>
    <row r="3132" spans="7:23" x14ac:dyDescent="0.3">
      <c r="G3132" s="69"/>
      <c r="H3132" s="69"/>
      <c r="I3132" s="69"/>
      <c r="J3132" s="69"/>
      <c r="K3132" s="69"/>
      <c r="L3132" s="69"/>
      <c r="M3132" s="69"/>
      <c r="N3132" s="69"/>
      <c r="O3132" s="69"/>
      <c r="P3132" s="69"/>
      <c r="Q3132" s="69"/>
      <c r="R3132" s="69"/>
      <c r="S3132" s="69"/>
      <c r="T3132" s="69"/>
      <c r="U3132" s="69"/>
      <c r="V3132" s="69"/>
      <c r="W3132" s="69"/>
    </row>
    <row r="3133" spans="7:23" x14ac:dyDescent="0.3">
      <c r="G3133" s="69"/>
      <c r="H3133" s="69"/>
      <c r="I3133" s="69"/>
      <c r="J3133" s="69"/>
      <c r="K3133" s="69"/>
      <c r="L3133" s="69"/>
      <c r="M3133" s="69"/>
      <c r="N3133" s="69"/>
      <c r="O3133" s="69"/>
      <c r="P3133" s="69"/>
      <c r="Q3133" s="69"/>
      <c r="R3133" s="69"/>
      <c r="S3133" s="69"/>
      <c r="T3133" s="69"/>
      <c r="U3133" s="69"/>
      <c r="V3133" s="69"/>
      <c r="W3133" s="69"/>
    </row>
    <row r="3134" spans="7:23" x14ac:dyDescent="0.3">
      <c r="G3134" s="69"/>
      <c r="H3134" s="69"/>
      <c r="I3134" s="69"/>
      <c r="J3134" s="69"/>
      <c r="K3134" s="69"/>
      <c r="L3134" s="69"/>
      <c r="M3134" s="69"/>
      <c r="N3134" s="69"/>
      <c r="O3134" s="69"/>
      <c r="P3134" s="69"/>
      <c r="Q3134" s="69"/>
      <c r="R3134" s="69"/>
      <c r="S3134" s="69"/>
      <c r="T3134" s="69"/>
      <c r="U3134" s="69"/>
      <c r="V3134" s="69"/>
      <c r="W3134" s="69"/>
    </row>
    <row r="3135" spans="7:23" x14ac:dyDescent="0.3">
      <c r="G3135" s="69"/>
      <c r="H3135" s="69"/>
      <c r="I3135" s="69"/>
      <c r="J3135" s="69"/>
      <c r="K3135" s="69"/>
      <c r="L3135" s="69"/>
      <c r="M3135" s="69"/>
      <c r="N3135" s="69"/>
      <c r="O3135" s="69"/>
      <c r="P3135" s="69"/>
      <c r="Q3135" s="69"/>
      <c r="R3135" s="69"/>
      <c r="S3135" s="69"/>
      <c r="T3135" s="69"/>
      <c r="U3135" s="69"/>
      <c r="V3135" s="69"/>
      <c r="W3135" s="69"/>
    </row>
    <row r="3136" spans="7:23" x14ac:dyDescent="0.3">
      <c r="G3136" s="69"/>
      <c r="H3136" s="69"/>
      <c r="I3136" s="69"/>
      <c r="J3136" s="69"/>
      <c r="K3136" s="69"/>
      <c r="L3136" s="69"/>
      <c r="M3136" s="69"/>
      <c r="N3136" s="69"/>
      <c r="O3136" s="69"/>
      <c r="P3136" s="69"/>
      <c r="Q3136" s="69"/>
      <c r="R3136" s="69"/>
      <c r="S3136" s="69"/>
      <c r="T3136" s="69"/>
      <c r="U3136" s="69"/>
      <c r="V3136" s="69"/>
      <c r="W3136" s="69"/>
    </row>
    <row r="3137" spans="1:23" x14ac:dyDescent="0.3">
      <c r="G3137" s="69"/>
      <c r="H3137" s="69"/>
      <c r="I3137" s="69"/>
      <c r="J3137" s="69"/>
      <c r="K3137" s="69"/>
      <c r="L3137" s="69"/>
      <c r="M3137" s="69"/>
      <c r="N3137" s="69"/>
      <c r="O3137" s="69"/>
      <c r="P3137" s="69"/>
      <c r="Q3137" s="69"/>
      <c r="R3137" s="69"/>
      <c r="S3137" s="69"/>
      <c r="T3137" s="69"/>
      <c r="U3137" s="69"/>
      <c r="V3137" s="69"/>
      <c r="W3137" s="69"/>
    </row>
    <row r="3138" spans="1:23" x14ac:dyDescent="0.3">
      <c r="G3138" s="69"/>
      <c r="H3138" s="69"/>
      <c r="I3138" s="69"/>
      <c r="J3138" s="69"/>
      <c r="K3138" s="69"/>
      <c r="L3138" s="69"/>
      <c r="M3138" s="69"/>
      <c r="N3138" s="69"/>
      <c r="O3138" s="69"/>
      <c r="P3138" s="69"/>
      <c r="Q3138" s="69"/>
      <c r="R3138" s="69"/>
      <c r="S3138" s="69"/>
      <c r="T3138" s="69"/>
      <c r="U3138" s="69"/>
      <c r="V3138" s="69"/>
      <c r="W3138" s="69"/>
    </row>
    <row r="3139" spans="1:23" x14ac:dyDescent="0.3">
      <c r="G3139" s="69"/>
      <c r="H3139" s="69"/>
      <c r="I3139" s="69"/>
      <c r="J3139" s="69"/>
      <c r="K3139" s="69"/>
      <c r="L3139" s="69"/>
      <c r="M3139" s="69"/>
      <c r="N3139" s="69"/>
      <c r="O3139" s="69"/>
      <c r="P3139" s="69"/>
      <c r="Q3139" s="69"/>
      <c r="R3139" s="69"/>
      <c r="S3139" s="69"/>
      <c r="T3139" s="69"/>
      <c r="U3139" s="69"/>
      <c r="V3139" s="69"/>
      <c r="W3139" s="69"/>
    </row>
    <row r="3140" spans="1:23" ht="21" x14ac:dyDescent="0.4">
      <c r="A3140" s="48"/>
      <c r="G3140" s="69"/>
      <c r="H3140" s="69"/>
      <c r="I3140" s="69"/>
      <c r="J3140" s="69"/>
      <c r="K3140" s="69"/>
      <c r="L3140" s="69"/>
      <c r="M3140" s="69"/>
      <c r="N3140" s="69"/>
      <c r="O3140" s="69"/>
      <c r="P3140" s="69"/>
      <c r="Q3140" s="69"/>
      <c r="R3140" s="69"/>
      <c r="S3140" s="69"/>
      <c r="T3140" s="69"/>
      <c r="U3140" s="69"/>
      <c r="V3140" s="69"/>
      <c r="W3140" s="69"/>
    </row>
    <row r="3141" spans="1:23" x14ac:dyDescent="0.3">
      <c r="G3141" s="69"/>
      <c r="H3141" s="69"/>
      <c r="I3141" s="69"/>
      <c r="J3141" s="69"/>
      <c r="K3141" s="69"/>
      <c r="L3141" s="69"/>
      <c r="M3141" s="69"/>
      <c r="N3141" s="69"/>
      <c r="O3141" s="69"/>
      <c r="P3141" s="69"/>
      <c r="Q3141" s="69"/>
      <c r="R3141" s="69"/>
      <c r="S3141" s="69"/>
      <c r="T3141" s="69"/>
      <c r="U3141" s="69"/>
      <c r="V3141" s="69"/>
      <c r="W3141" s="69"/>
    </row>
    <row r="3142" spans="1:23" x14ac:dyDescent="0.3">
      <c r="G3142" s="69"/>
      <c r="H3142" s="69"/>
      <c r="I3142" s="69"/>
      <c r="J3142" s="69"/>
      <c r="K3142" s="69"/>
      <c r="L3142" s="69"/>
      <c r="M3142" s="69"/>
      <c r="N3142" s="69"/>
      <c r="O3142" s="69"/>
      <c r="P3142" s="69"/>
      <c r="Q3142" s="69"/>
      <c r="R3142" s="69"/>
      <c r="S3142" s="69"/>
      <c r="T3142" s="69"/>
      <c r="U3142" s="69"/>
      <c r="V3142" s="69"/>
      <c r="W3142" s="69"/>
    </row>
    <row r="3143" spans="1:23" x14ac:dyDescent="0.3">
      <c r="G3143" s="69"/>
      <c r="H3143" s="69"/>
      <c r="I3143" s="69"/>
      <c r="J3143" s="69"/>
      <c r="K3143" s="69"/>
      <c r="L3143" s="69"/>
      <c r="M3143" s="69"/>
      <c r="N3143" s="69"/>
      <c r="O3143" s="69"/>
      <c r="P3143" s="69"/>
      <c r="Q3143" s="69"/>
      <c r="R3143" s="69"/>
      <c r="S3143" s="69"/>
      <c r="T3143" s="69"/>
      <c r="U3143" s="69"/>
      <c r="V3143" s="69"/>
      <c r="W3143" s="69"/>
    </row>
    <row r="3144" spans="1:23" x14ac:dyDescent="0.3">
      <c r="G3144" s="69"/>
      <c r="H3144" s="69"/>
      <c r="I3144" s="69"/>
      <c r="J3144" s="69"/>
      <c r="K3144" s="69"/>
      <c r="L3144" s="69"/>
      <c r="M3144" s="69"/>
      <c r="N3144" s="69"/>
      <c r="O3144" s="69"/>
      <c r="P3144" s="69"/>
      <c r="Q3144" s="69"/>
      <c r="R3144" s="69"/>
      <c r="S3144" s="69"/>
      <c r="T3144" s="69"/>
      <c r="U3144" s="69"/>
      <c r="V3144" s="69"/>
      <c r="W3144" s="69"/>
    </row>
    <row r="3145" spans="1:23" x14ac:dyDescent="0.3">
      <c r="G3145" s="69"/>
      <c r="H3145" s="69"/>
      <c r="I3145" s="69"/>
      <c r="J3145" s="69"/>
      <c r="K3145" s="69"/>
      <c r="L3145" s="69"/>
      <c r="M3145" s="69"/>
      <c r="N3145" s="69"/>
      <c r="O3145" s="69"/>
      <c r="P3145" s="69"/>
      <c r="Q3145" s="69"/>
      <c r="R3145" s="69"/>
      <c r="S3145" s="69"/>
      <c r="T3145" s="69"/>
      <c r="U3145" s="69"/>
      <c r="V3145" s="69"/>
      <c r="W3145" s="69"/>
    </row>
    <row r="3146" spans="1:23" x14ac:dyDescent="0.3">
      <c r="G3146" s="69"/>
      <c r="H3146" s="69"/>
      <c r="I3146" s="69"/>
      <c r="J3146" s="69"/>
      <c r="K3146" s="69"/>
      <c r="L3146" s="69"/>
      <c r="M3146" s="69"/>
      <c r="N3146" s="69"/>
      <c r="O3146" s="69"/>
      <c r="P3146" s="69"/>
      <c r="Q3146" s="69"/>
      <c r="R3146" s="69"/>
      <c r="S3146" s="69"/>
      <c r="T3146" s="69"/>
      <c r="U3146" s="69"/>
      <c r="V3146" s="69"/>
      <c r="W3146" s="69"/>
    </row>
    <row r="3147" spans="1:23" x14ac:dyDescent="0.3">
      <c r="G3147" s="69"/>
      <c r="H3147" s="69"/>
      <c r="I3147" s="69"/>
      <c r="J3147" s="69"/>
      <c r="K3147" s="69"/>
      <c r="L3147" s="69"/>
      <c r="M3147" s="69"/>
      <c r="N3147" s="69"/>
      <c r="O3147" s="69"/>
      <c r="P3147" s="69"/>
      <c r="Q3147" s="69"/>
      <c r="R3147" s="69"/>
      <c r="S3147" s="69"/>
      <c r="T3147" s="69"/>
      <c r="U3147" s="69"/>
      <c r="V3147" s="69"/>
      <c r="W3147" s="69"/>
    </row>
    <row r="3148" spans="1:23" x14ac:dyDescent="0.3">
      <c r="G3148" s="69"/>
      <c r="H3148" s="69"/>
      <c r="I3148" s="69"/>
      <c r="J3148" s="69"/>
      <c r="K3148" s="69"/>
      <c r="L3148" s="69"/>
      <c r="M3148" s="69"/>
      <c r="N3148" s="69"/>
      <c r="O3148" s="69"/>
      <c r="P3148" s="69"/>
      <c r="Q3148" s="69"/>
      <c r="R3148" s="69"/>
      <c r="S3148" s="69"/>
      <c r="T3148" s="69"/>
      <c r="U3148" s="69"/>
      <c r="V3148" s="69"/>
      <c r="W3148" s="69"/>
    </row>
    <row r="3149" spans="1:23" x14ac:dyDescent="0.3">
      <c r="G3149" s="69"/>
      <c r="H3149" s="69"/>
      <c r="I3149" s="69"/>
      <c r="J3149" s="69"/>
      <c r="K3149" s="69"/>
      <c r="L3149" s="69"/>
      <c r="M3149" s="69"/>
      <c r="N3149" s="69"/>
      <c r="O3149" s="69"/>
      <c r="P3149" s="69"/>
      <c r="Q3149" s="69"/>
      <c r="R3149" s="69"/>
      <c r="S3149" s="69"/>
      <c r="T3149" s="69"/>
      <c r="U3149" s="69"/>
      <c r="V3149" s="69"/>
      <c r="W3149" s="69"/>
    </row>
    <row r="3150" spans="1:23" x14ac:dyDescent="0.3">
      <c r="G3150" s="69"/>
      <c r="H3150" s="69"/>
      <c r="I3150" s="69"/>
      <c r="J3150" s="69"/>
      <c r="K3150" s="69"/>
      <c r="L3150" s="69"/>
      <c r="M3150" s="69"/>
      <c r="N3150" s="69"/>
      <c r="O3150" s="69"/>
      <c r="P3150" s="69"/>
      <c r="Q3150" s="69"/>
      <c r="R3150" s="69"/>
      <c r="S3150" s="69"/>
      <c r="T3150" s="69"/>
      <c r="U3150" s="69"/>
      <c r="V3150" s="69"/>
      <c r="W3150" s="69"/>
    </row>
    <row r="3151" spans="1:23" x14ac:dyDescent="0.3">
      <c r="G3151" s="69"/>
      <c r="H3151" s="69"/>
      <c r="I3151" s="69"/>
      <c r="J3151" s="69"/>
      <c r="K3151" s="69"/>
      <c r="L3151" s="69"/>
      <c r="M3151" s="69"/>
      <c r="N3151" s="69"/>
      <c r="O3151" s="69"/>
      <c r="P3151" s="69"/>
      <c r="Q3151" s="69"/>
      <c r="R3151" s="69"/>
      <c r="S3151" s="69"/>
      <c r="T3151" s="69"/>
      <c r="U3151" s="69"/>
      <c r="V3151" s="69"/>
      <c r="W3151" s="69"/>
    </row>
    <row r="3152" spans="1:23" x14ac:dyDescent="0.3">
      <c r="G3152" s="69"/>
      <c r="H3152" s="69"/>
      <c r="I3152" s="69"/>
      <c r="J3152" s="69"/>
      <c r="K3152" s="69"/>
      <c r="L3152" s="69"/>
      <c r="M3152" s="69"/>
      <c r="N3152" s="69"/>
      <c r="O3152" s="69"/>
      <c r="P3152" s="69"/>
      <c r="Q3152" s="69"/>
      <c r="R3152" s="69"/>
      <c r="S3152" s="69"/>
      <c r="T3152" s="69"/>
      <c r="U3152" s="69"/>
      <c r="V3152" s="69"/>
      <c r="W3152" s="69"/>
    </row>
    <row r="3153" spans="7:23" x14ac:dyDescent="0.3">
      <c r="G3153" s="69"/>
      <c r="H3153" s="69"/>
      <c r="I3153" s="69"/>
      <c r="J3153" s="69"/>
      <c r="K3153" s="69"/>
      <c r="L3153" s="69"/>
      <c r="M3153" s="69"/>
      <c r="N3153" s="69"/>
      <c r="O3153" s="69"/>
      <c r="P3153" s="69"/>
      <c r="Q3153" s="69"/>
      <c r="R3153" s="69"/>
      <c r="S3153" s="69"/>
      <c r="T3153" s="69"/>
      <c r="U3153" s="69"/>
      <c r="V3153" s="69"/>
      <c r="W3153" s="69"/>
    </row>
    <row r="3154" spans="7:23" x14ac:dyDescent="0.3">
      <c r="G3154" s="69"/>
      <c r="H3154" s="69"/>
      <c r="I3154" s="69"/>
      <c r="J3154" s="69"/>
      <c r="K3154" s="69"/>
      <c r="L3154" s="69"/>
      <c r="M3154" s="69"/>
      <c r="N3154" s="69"/>
      <c r="O3154" s="69"/>
      <c r="P3154" s="69"/>
      <c r="Q3154" s="69"/>
      <c r="R3154" s="69"/>
      <c r="S3154" s="69"/>
      <c r="T3154" s="69"/>
      <c r="U3154" s="69"/>
      <c r="V3154" s="69"/>
      <c r="W3154" s="69"/>
    </row>
    <row r="3155" spans="7:23" x14ac:dyDescent="0.3">
      <c r="G3155" s="69"/>
      <c r="H3155" s="69"/>
      <c r="I3155" s="69"/>
      <c r="J3155" s="69"/>
      <c r="K3155" s="69"/>
      <c r="L3155" s="69"/>
      <c r="M3155" s="69"/>
      <c r="N3155" s="69"/>
      <c r="O3155" s="69"/>
      <c r="P3155" s="69"/>
      <c r="Q3155" s="69"/>
      <c r="R3155" s="69"/>
      <c r="S3155" s="69"/>
      <c r="T3155" s="69"/>
      <c r="U3155" s="69"/>
      <c r="V3155" s="69"/>
      <c r="W3155" s="69"/>
    </row>
    <row r="3156" spans="7:23" x14ac:dyDescent="0.3">
      <c r="G3156" s="69"/>
      <c r="H3156" s="69"/>
      <c r="I3156" s="69"/>
      <c r="J3156" s="69"/>
      <c r="K3156" s="69"/>
      <c r="L3156" s="69"/>
      <c r="M3156" s="69"/>
      <c r="N3156" s="69"/>
      <c r="O3156" s="69"/>
      <c r="P3156" s="69"/>
      <c r="Q3156" s="69"/>
      <c r="R3156" s="69"/>
      <c r="S3156" s="69"/>
      <c r="T3156" s="69"/>
      <c r="U3156" s="69"/>
      <c r="V3156" s="69"/>
      <c r="W3156" s="69"/>
    </row>
    <row r="3157" spans="7:23" x14ac:dyDescent="0.3">
      <c r="G3157" s="69"/>
      <c r="H3157" s="69"/>
      <c r="I3157" s="69"/>
      <c r="J3157" s="69"/>
      <c r="K3157" s="69"/>
      <c r="L3157" s="69"/>
      <c r="M3157" s="69"/>
      <c r="N3157" s="69"/>
      <c r="O3157" s="69"/>
      <c r="P3157" s="69"/>
      <c r="Q3157" s="69"/>
      <c r="R3157" s="69"/>
      <c r="S3157" s="69"/>
      <c r="T3157" s="69"/>
      <c r="U3157" s="69"/>
      <c r="V3157" s="69"/>
      <c r="W3157" s="69"/>
    </row>
    <row r="3158" spans="7:23" x14ac:dyDescent="0.3">
      <c r="G3158" s="69"/>
      <c r="H3158" s="69"/>
      <c r="I3158" s="69"/>
      <c r="J3158" s="69"/>
      <c r="K3158" s="69"/>
      <c r="L3158" s="69"/>
      <c r="M3158" s="69"/>
      <c r="N3158" s="69"/>
      <c r="O3158" s="69"/>
      <c r="P3158" s="69"/>
      <c r="Q3158" s="69"/>
      <c r="R3158" s="69"/>
      <c r="S3158" s="69"/>
      <c r="T3158" s="69"/>
      <c r="U3158" s="69"/>
      <c r="V3158" s="69"/>
      <c r="W3158" s="69"/>
    </row>
    <row r="3159" spans="7:23" x14ac:dyDescent="0.3">
      <c r="G3159" s="69"/>
      <c r="H3159" s="69"/>
      <c r="I3159" s="69"/>
      <c r="J3159" s="69"/>
      <c r="K3159" s="69"/>
      <c r="L3159" s="69"/>
      <c r="M3159" s="69"/>
      <c r="N3159" s="69"/>
      <c r="O3159" s="69"/>
      <c r="P3159" s="69"/>
      <c r="Q3159" s="69"/>
      <c r="R3159" s="69"/>
      <c r="S3159" s="69"/>
      <c r="T3159" s="69"/>
      <c r="U3159" s="69"/>
      <c r="V3159" s="69"/>
      <c r="W3159" s="69"/>
    </row>
    <row r="3160" spans="7:23" x14ac:dyDescent="0.3">
      <c r="G3160" s="69"/>
      <c r="H3160" s="69"/>
      <c r="I3160" s="69"/>
      <c r="J3160" s="69"/>
      <c r="K3160" s="69"/>
      <c r="L3160" s="69"/>
      <c r="M3160" s="69"/>
      <c r="N3160" s="69"/>
      <c r="O3160" s="69"/>
      <c r="P3160" s="69"/>
      <c r="Q3160" s="69"/>
      <c r="R3160" s="69"/>
      <c r="S3160" s="69"/>
      <c r="T3160" s="69"/>
      <c r="U3160" s="69"/>
      <c r="V3160" s="69"/>
      <c r="W3160" s="69"/>
    </row>
    <row r="3161" spans="7:23" x14ac:dyDescent="0.3">
      <c r="G3161" s="69"/>
      <c r="H3161" s="69"/>
      <c r="I3161" s="69"/>
      <c r="J3161" s="69"/>
      <c r="K3161" s="69"/>
      <c r="L3161" s="69"/>
      <c r="M3161" s="69"/>
      <c r="N3161" s="69"/>
      <c r="O3161" s="69"/>
      <c r="P3161" s="69"/>
      <c r="Q3161" s="69"/>
      <c r="R3161" s="69"/>
      <c r="S3161" s="69"/>
      <c r="T3161" s="69"/>
      <c r="U3161" s="69"/>
      <c r="V3161" s="69"/>
      <c r="W3161" s="69"/>
    </row>
    <row r="3162" spans="7:23" x14ac:dyDescent="0.3">
      <c r="G3162" s="69"/>
      <c r="H3162" s="69"/>
      <c r="I3162" s="69"/>
      <c r="J3162" s="69"/>
      <c r="K3162" s="69"/>
      <c r="L3162" s="69"/>
      <c r="M3162" s="69"/>
      <c r="N3162" s="69"/>
      <c r="O3162" s="69"/>
      <c r="P3162" s="69"/>
      <c r="Q3162" s="69"/>
      <c r="R3162" s="69"/>
      <c r="S3162" s="69"/>
      <c r="T3162" s="69"/>
      <c r="U3162" s="69"/>
      <c r="V3162" s="69"/>
      <c r="W3162" s="69"/>
    </row>
    <row r="3163" spans="7:23" x14ac:dyDescent="0.3">
      <c r="G3163" s="69"/>
      <c r="H3163" s="69"/>
      <c r="I3163" s="69"/>
      <c r="J3163" s="69"/>
      <c r="K3163" s="69"/>
      <c r="L3163" s="69"/>
      <c r="M3163" s="69"/>
      <c r="N3163" s="69"/>
      <c r="O3163" s="69"/>
      <c r="P3163" s="69"/>
      <c r="Q3163" s="69"/>
      <c r="R3163" s="69"/>
      <c r="S3163" s="69"/>
      <c r="T3163" s="69"/>
      <c r="U3163" s="69"/>
      <c r="V3163" s="69"/>
      <c r="W3163" s="69"/>
    </row>
    <row r="3164" spans="7:23" x14ac:dyDescent="0.3">
      <c r="G3164" s="69"/>
      <c r="H3164" s="69"/>
      <c r="I3164" s="69"/>
      <c r="J3164" s="69"/>
      <c r="K3164" s="69"/>
      <c r="L3164" s="69"/>
      <c r="M3164" s="69"/>
      <c r="N3164" s="69"/>
      <c r="O3164" s="69"/>
      <c r="P3164" s="69"/>
      <c r="Q3164" s="69"/>
      <c r="R3164" s="69"/>
      <c r="S3164" s="69"/>
      <c r="T3164" s="69"/>
      <c r="U3164" s="69"/>
      <c r="V3164" s="69"/>
      <c r="W3164" s="69"/>
    </row>
    <row r="3165" spans="7:23" x14ac:dyDescent="0.3">
      <c r="G3165" s="69"/>
      <c r="H3165" s="69"/>
      <c r="I3165" s="69"/>
      <c r="J3165" s="69"/>
      <c r="K3165" s="69"/>
      <c r="L3165" s="69"/>
      <c r="M3165" s="69"/>
      <c r="N3165" s="69"/>
      <c r="O3165" s="69"/>
      <c r="P3165" s="69"/>
      <c r="Q3165" s="69"/>
      <c r="R3165" s="69"/>
      <c r="S3165" s="69"/>
      <c r="T3165" s="69"/>
      <c r="U3165" s="69"/>
      <c r="V3165" s="69"/>
      <c r="W3165" s="69"/>
    </row>
    <row r="3166" spans="7:23" x14ac:dyDescent="0.3">
      <c r="G3166" s="69"/>
      <c r="H3166" s="69"/>
      <c r="I3166" s="69"/>
      <c r="J3166" s="69"/>
      <c r="K3166" s="69"/>
      <c r="L3166" s="69"/>
      <c r="M3166" s="69"/>
      <c r="N3166" s="69"/>
      <c r="O3166" s="69"/>
      <c r="P3166" s="69"/>
      <c r="Q3166" s="69"/>
      <c r="R3166" s="69"/>
      <c r="S3166" s="69"/>
      <c r="T3166" s="69"/>
      <c r="U3166" s="69"/>
      <c r="V3166" s="69"/>
      <c r="W3166" s="69"/>
    </row>
    <row r="3167" spans="7:23" x14ac:dyDescent="0.3">
      <c r="G3167" s="69"/>
      <c r="H3167" s="69"/>
      <c r="I3167" s="69"/>
      <c r="J3167" s="69"/>
      <c r="K3167" s="69"/>
      <c r="L3167" s="69"/>
      <c r="M3167" s="69"/>
      <c r="N3167" s="69"/>
      <c r="O3167" s="69"/>
      <c r="P3167" s="69"/>
      <c r="Q3167" s="69"/>
      <c r="R3167" s="69"/>
      <c r="S3167" s="69"/>
      <c r="T3167" s="69"/>
      <c r="U3167" s="69"/>
      <c r="V3167" s="69"/>
      <c r="W3167" s="69"/>
    </row>
    <row r="3168" spans="7:23" x14ac:dyDescent="0.3">
      <c r="G3168" s="69"/>
      <c r="H3168" s="69"/>
      <c r="I3168" s="69"/>
      <c r="J3168" s="69"/>
      <c r="K3168" s="69"/>
      <c r="L3168" s="69"/>
      <c r="M3168" s="69"/>
      <c r="N3168" s="69"/>
      <c r="O3168" s="69"/>
      <c r="P3168" s="69"/>
      <c r="Q3168" s="69"/>
      <c r="R3168" s="69"/>
      <c r="S3168" s="69"/>
      <c r="T3168" s="69"/>
      <c r="U3168" s="69"/>
      <c r="V3168" s="69"/>
      <c r="W3168" s="69"/>
    </row>
    <row r="3169" spans="7:23" x14ac:dyDescent="0.3">
      <c r="G3169" s="69"/>
      <c r="H3169" s="69"/>
      <c r="I3169" s="69"/>
      <c r="J3169" s="69"/>
      <c r="K3169" s="69"/>
      <c r="L3169" s="69"/>
      <c r="M3169" s="69"/>
      <c r="N3169" s="69"/>
      <c r="O3169" s="69"/>
      <c r="P3169" s="69"/>
      <c r="Q3169" s="69"/>
      <c r="R3169" s="69"/>
      <c r="S3169" s="69"/>
      <c r="T3169" s="69"/>
      <c r="U3169" s="69"/>
      <c r="V3169" s="69"/>
      <c r="W3169" s="69"/>
    </row>
    <row r="3170" spans="7:23" x14ac:dyDescent="0.3">
      <c r="G3170" s="69"/>
      <c r="H3170" s="69"/>
      <c r="I3170" s="69"/>
      <c r="J3170" s="69"/>
      <c r="K3170" s="69"/>
      <c r="L3170" s="69"/>
      <c r="M3170" s="69"/>
      <c r="N3170" s="69"/>
      <c r="O3170" s="69"/>
      <c r="P3170" s="69"/>
      <c r="Q3170" s="69"/>
      <c r="R3170" s="69"/>
      <c r="S3170" s="69"/>
      <c r="T3170" s="69"/>
      <c r="U3170" s="69"/>
      <c r="V3170" s="69"/>
      <c r="W3170" s="69"/>
    </row>
    <row r="3171" spans="7:23" x14ac:dyDescent="0.3">
      <c r="G3171" s="69"/>
      <c r="H3171" s="69"/>
      <c r="I3171" s="69"/>
      <c r="J3171" s="69"/>
      <c r="K3171" s="69"/>
      <c r="L3171" s="69"/>
      <c r="M3171" s="69"/>
      <c r="N3171" s="69"/>
      <c r="O3171" s="69"/>
      <c r="P3171" s="69"/>
      <c r="Q3171" s="69"/>
      <c r="R3171" s="69"/>
      <c r="S3171" s="69"/>
      <c r="T3171" s="69"/>
      <c r="U3171" s="69"/>
      <c r="V3171" s="69"/>
      <c r="W3171" s="69"/>
    </row>
    <row r="3172" spans="7:23" x14ac:dyDescent="0.3">
      <c r="G3172" s="69"/>
      <c r="H3172" s="69"/>
      <c r="I3172" s="69"/>
      <c r="J3172" s="69"/>
      <c r="K3172" s="69"/>
      <c r="L3172" s="69"/>
      <c r="M3172" s="69"/>
      <c r="N3172" s="69"/>
      <c r="O3172" s="69"/>
      <c r="P3172" s="69"/>
      <c r="Q3172" s="69"/>
      <c r="R3172" s="69"/>
      <c r="S3172" s="69"/>
      <c r="T3172" s="69"/>
      <c r="U3172" s="69"/>
      <c r="V3172" s="69"/>
      <c r="W3172" s="69"/>
    </row>
    <row r="3173" spans="7:23" x14ac:dyDescent="0.3">
      <c r="G3173" s="69"/>
      <c r="H3173" s="69"/>
      <c r="I3173" s="69"/>
      <c r="J3173" s="69"/>
      <c r="K3173" s="69"/>
      <c r="L3173" s="69"/>
      <c r="M3173" s="69"/>
      <c r="N3173" s="69"/>
      <c r="O3173" s="69"/>
      <c r="P3173" s="69"/>
      <c r="Q3173" s="69"/>
      <c r="R3173" s="69"/>
      <c r="S3173" s="69"/>
      <c r="T3173" s="69"/>
      <c r="U3173" s="69"/>
      <c r="V3173" s="69"/>
      <c r="W3173" s="69"/>
    </row>
    <row r="3174" spans="7:23" x14ac:dyDescent="0.3">
      <c r="G3174" s="69"/>
      <c r="H3174" s="69"/>
      <c r="I3174" s="69"/>
      <c r="J3174" s="69"/>
      <c r="K3174" s="69"/>
      <c r="L3174" s="69"/>
      <c r="M3174" s="69"/>
      <c r="N3174" s="69"/>
      <c r="O3174" s="69"/>
      <c r="P3174" s="69"/>
      <c r="Q3174" s="69"/>
      <c r="R3174" s="69"/>
      <c r="S3174" s="69"/>
      <c r="T3174" s="69"/>
      <c r="U3174" s="69"/>
      <c r="V3174" s="69"/>
      <c r="W3174" s="69"/>
    </row>
    <row r="3175" spans="7:23" x14ac:dyDescent="0.3">
      <c r="G3175" s="69"/>
      <c r="H3175" s="69"/>
      <c r="I3175" s="69"/>
      <c r="J3175" s="69"/>
      <c r="K3175" s="69"/>
      <c r="L3175" s="69"/>
      <c r="M3175" s="69"/>
      <c r="N3175" s="69"/>
      <c r="O3175" s="69"/>
      <c r="P3175" s="69"/>
      <c r="Q3175" s="69"/>
      <c r="R3175" s="69"/>
      <c r="S3175" s="69"/>
      <c r="T3175" s="69"/>
      <c r="U3175" s="69"/>
      <c r="V3175" s="69"/>
      <c r="W3175" s="69"/>
    </row>
    <row r="3176" spans="7:23" x14ac:dyDescent="0.3">
      <c r="G3176" s="69"/>
      <c r="H3176" s="69"/>
      <c r="I3176" s="69"/>
      <c r="J3176" s="69"/>
      <c r="K3176" s="69"/>
      <c r="L3176" s="69"/>
      <c r="M3176" s="69"/>
      <c r="N3176" s="69"/>
      <c r="O3176" s="69"/>
      <c r="P3176" s="69"/>
      <c r="Q3176" s="69"/>
      <c r="R3176" s="69"/>
      <c r="S3176" s="69"/>
      <c r="T3176" s="69"/>
      <c r="U3176" s="69"/>
      <c r="V3176" s="69"/>
      <c r="W3176" s="69"/>
    </row>
    <row r="3177" spans="7:23" x14ac:dyDescent="0.3">
      <c r="G3177" s="69"/>
      <c r="H3177" s="69"/>
      <c r="I3177" s="69"/>
      <c r="J3177" s="69"/>
      <c r="K3177" s="69"/>
      <c r="L3177" s="69"/>
      <c r="M3177" s="69"/>
      <c r="N3177" s="69"/>
      <c r="O3177" s="69"/>
      <c r="P3177" s="69"/>
      <c r="Q3177" s="69"/>
      <c r="R3177" s="69"/>
      <c r="S3177" s="69"/>
      <c r="T3177" s="69"/>
      <c r="U3177" s="69"/>
      <c r="V3177" s="69"/>
      <c r="W3177" s="69"/>
    </row>
    <row r="3178" spans="7:23" x14ac:dyDescent="0.3">
      <c r="G3178" s="69"/>
      <c r="H3178" s="69"/>
      <c r="I3178" s="69"/>
      <c r="J3178" s="69"/>
      <c r="K3178" s="69"/>
      <c r="L3178" s="69"/>
      <c r="M3178" s="69"/>
      <c r="N3178" s="69"/>
      <c r="O3178" s="69"/>
      <c r="P3178" s="69"/>
      <c r="Q3178" s="69"/>
      <c r="R3178" s="69"/>
      <c r="S3178" s="69"/>
      <c r="T3178" s="69"/>
      <c r="U3178" s="69"/>
      <c r="V3178" s="69"/>
      <c r="W3178" s="69"/>
    </row>
    <row r="3179" spans="7:23" x14ac:dyDescent="0.3">
      <c r="G3179" s="69"/>
      <c r="H3179" s="69"/>
      <c r="I3179" s="69"/>
      <c r="J3179" s="69"/>
      <c r="K3179" s="69"/>
      <c r="L3179" s="69"/>
      <c r="M3179" s="69"/>
      <c r="N3179" s="69"/>
      <c r="O3179" s="69"/>
      <c r="P3179" s="69"/>
      <c r="Q3179" s="69"/>
      <c r="R3179" s="69"/>
      <c r="S3179" s="69"/>
      <c r="T3179" s="69"/>
      <c r="U3179" s="69"/>
      <c r="V3179" s="69"/>
      <c r="W3179" s="69"/>
    </row>
    <row r="3180" spans="7:23" x14ac:dyDescent="0.3">
      <c r="G3180" s="69"/>
      <c r="H3180" s="69"/>
      <c r="I3180" s="69"/>
      <c r="J3180" s="69"/>
      <c r="K3180" s="69"/>
      <c r="L3180" s="69"/>
      <c r="M3180" s="69"/>
      <c r="N3180" s="69"/>
      <c r="O3180" s="69"/>
      <c r="P3180" s="69"/>
      <c r="Q3180" s="69"/>
      <c r="R3180" s="69"/>
      <c r="S3180" s="69"/>
      <c r="T3180" s="69"/>
      <c r="U3180" s="69"/>
      <c r="V3180" s="69"/>
      <c r="W3180" s="69"/>
    </row>
    <row r="3181" spans="7:23" x14ac:dyDescent="0.3">
      <c r="G3181" s="69"/>
      <c r="H3181" s="69"/>
      <c r="I3181" s="69"/>
      <c r="J3181" s="69"/>
      <c r="K3181" s="69"/>
      <c r="L3181" s="69"/>
      <c r="M3181" s="69"/>
      <c r="N3181" s="69"/>
      <c r="O3181" s="69"/>
      <c r="P3181" s="69"/>
      <c r="Q3181" s="69"/>
      <c r="R3181" s="69"/>
      <c r="S3181" s="69"/>
      <c r="T3181" s="69"/>
      <c r="U3181" s="69"/>
      <c r="V3181" s="69"/>
      <c r="W3181" s="69"/>
    </row>
    <row r="3182" spans="7:23" x14ac:dyDescent="0.3">
      <c r="G3182" s="69"/>
      <c r="H3182" s="69"/>
      <c r="I3182" s="69"/>
      <c r="J3182" s="69"/>
      <c r="K3182" s="69"/>
      <c r="L3182" s="69"/>
      <c r="M3182" s="69"/>
      <c r="N3182" s="69"/>
      <c r="O3182" s="69"/>
      <c r="P3182" s="69"/>
      <c r="Q3182" s="69"/>
      <c r="R3182" s="69"/>
      <c r="S3182" s="69"/>
      <c r="T3182" s="69"/>
      <c r="U3182" s="69"/>
      <c r="V3182" s="69"/>
      <c r="W3182" s="69"/>
    </row>
    <row r="3183" spans="7:23" x14ac:dyDescent="0.3">
      <c r="G3183" s="69"/>
      <c r="H3183" s="69"/>
      <c r="I3183" s="69"/>
      <c r="J3183" s="69"/>
      <c r="K3183" s="69"/>
      <c r="L3183" s="69"/>
      <c r="M3183" s="69"/>
      <c r="N3183" s="69"/>
      <c r="O3183" s="69"/>
      <c r="P3183" s="69"/>
      <c r="Q3183" s="69"/>
      <c r="R3183" s="69"/>
      <c r="S3183" s="69"/>
      <c r="T3183" s="69"/>
      <c r="U3183" s="69"/>
      <c r="V3183" s="69"/>
      <c r="W3183" s="69"/>
    </row>
    <row r="3184" spans="7:23" x14ac:dyDescent="0.3">
      <c r="G3184" s="69"/>
      <c r="H3184" s="69"/>
      <c r="I3184" s="69"/>
      <c r="J3184" s="69"/>
      <c r="K3184" s="69"/>
      <c r="L3184" s="69"/>
      <c r="M3184" s="69"/>
      <c r="N3184" s="69"/>
      <c r="O3184" s="69"/>
      <c r="P3184" s="69"/>
      <c r="Q3184" s="69"/>
      <c r="R3184" s="69"/>
      <c r="S3184" s="69"/>
      <c r="T3184" s="69"/>
      <c r="U3184" s="69"/>
      <c r="V3184" s="69"/>
      <c r="W3184" s="69"/>
    </row>
    <row r="3185" spans="7:23" x14ac:dyDescent="0.3">
      <c r="G3185" s="69"/>
      <c r="H3185" s="69"/>
      <c r="I3185" s="69"/>
      <c r="J3185" s="69"/>
      <c r="K3185" s="69"/>
      <c r="L3185" s="69"/>
      <c r="M3185" s="69"/>
      <c r="N3185" s="69"/>
      <c r="O3185" s="69"/>
      <c r="P3185" s="69"/>
      <c r="Q3185" s="69"/>
      <c r="R3185" s="69"/>
      <c r="S3185" s="69"/>
      <c r="T3185" s="69"/>
      <c r="U3185" s="69"/>
      <c r="V3185" s="69"/>
      <c r="W3185" s="69"/>
    </row>
    <row r="3186" spans="7:23" x14ac:dyDescent="0.3">
      <c r="G3186" s="69"/>
      <c r="H3186" s="69"/>
      <c r="I3186" s="69"/>
      <c r="J3186" s="69"/>
      <c r="K3186" s="69"/>
      <c r="L3186" s="69"/>
      <c r="M3186" s="69"/>
      <c r="N3186" s="69"/>
      <c r="O3186" s="69"/>
      <c r="P3186" s="69"/>
      <c r="Q3186" s="69"/>
      <c r="R3186" s="69"/>
      <c r="S3186" s="69"/>
      <c r="T3186" s="69"/>
      <c r="U3186" s="69"/>
      <c r="V3186" s="69"/>
      <c r="W3186" s="69"/>
    </row>
    <row r="3187" spans="7:23" x14ac:dyDescent="0.3">
      <c r="G3187" s="69"/>
      <c r="H3187" s="69"/>
      <c r="I3187" s="69"/>
      <c r="J3187" s="69"/>
      <c r="K3187" s="69"/>
      <c r="L3187" s="69"/>
      <c r="M3187" s="69"/>
      <c r="N3187" s="69"/>
      <c r="O3187" s="69"/>
      <c r="P3187" s="69"/>
      <c r="Q3187" s="69"/>
      <c r="R3187" s="69"/>
      <c r="S3187" s="69"/>
      <c r="T3187" s="69"/>
      <c r="U3187" s="69"/>
      <c r="V3187" s="69"/>
      <c r="W3187" s="69"/>
    </row>
    <row r="3188" spans="7:23" x14ac:dyDescent="0.3">
      <c r="G3188" s="69"/>
      <c r="H3188" s="69"/>
      <c r="I3188" s="69"/>
      <c r="J3188" s="69"/>
      <c r="K3188" s="69"/>
      <c r="L3188" s="69"/>
      <c r="M3188" s="69"/>
      <c r="N3188" s="69"/>
      <c r="O3188" s="69"/>
      <c r="P3188" s="69"/>
      <c r="Q3188" s="69"/>
      <c r="R3188" s="69"/>
      <c r="S3188" s="69"/>
      <c r="T3188" s="69"/>
      <c r="U3188" s="69"/>
      <c r="V3188" s="69"/>
      <c r="W3188" s="69"/>
    </row>
    <row r="3189" spans="7:23" x14ac:dyDescent="0.3">
      <c r="G3189" s="69"/>
      <c r="H3189" s="69"/>
      <c r="I3189" s="69"/>
      <c r="J3189" s="69"/>
      <c r="K3189" s="69"/>
      <c r="L3189" s="69"/>
      <c r="M3189" s="69"/>
      <c r="N3189" s="69"/>
      <c r="O3189" s="69"/>
      <c r="P3189" s="69"/>
      <c r="Q3189" s="69"/>
      <c r="R3189" s="69"/>
      <c r="S3189" s="69"/>
      <c r="T3189" s="69"/>
      <c r="U3189" s="69"/>
      <c r="V3189" s="69"/>
      <c r="W3189" s="69"/>
    </row>
    <row r="3190" spans="7:23" x14ac:dyDescent="0.3">
      <c r="G3190" s="69"/>
      <c r="H3190" s="69"/>
      <c r="I3190" s="69"/>
      <c r="J3190" s="69"/>
      <c r="K3190" s="69"/>
      <c r="L3190" s="69"/>
      <c r="M3190" s="69"/>
      <c r="N3190" s="69"/>
      <c r="O3190" s="69"/>
      <c r="P3190" s="69"/>
      <c r="Q3190" s="69"/>
      <c r="R3190" s="69"/>
      <c r="S3190" s="69"/>
      <c r="T3190" s="69"/>
      <c r="U3190" s="69"/>
      <c r="V3190" s="69"/>
      <c r="W3190" s="69"/>
    </row>
    <row r="3191" spans="7:23" x14ac:dyDescent="0.3">
      <c r="G3191" s="69"/>
      <c r="H3191" s="69"/>
      <c r="I3191" s="69"/>
      <c r="J3191" s="69"/>
      <c r="K3191" s="69"/>
      <c r="L3191" s="69"/>
      <c r="M3191" s="69"/>
      <c r="N3191" s="69"/>
      <c r="O3191" s="69"/>
      <c r="P3191" s="69"/>
      <c r="Q3191" s="69"/>
      <c r="R3191" s="69"/>
      <c r="S3191" s="69"/>
      <c r="T3191" s="69"/>
      <c r="U3191" s="69"/>
      <c r="V3191" s="69"/>
      <c r="W3191" s="69"/>
    </row>
    <row r="3192" spans="7:23" x14ac:dyDescent="0.3">
      <c r="G3192" s="69"/>
      <c r="H3192" s="69"/>
      <c r="I3192" s="69"/>
      <c r="J3192" s="69"/>
      <c r="K3192" s="69"/>
      <c r="L3192" s="69"/>
      <c r="M3192" s="69"/>
      <c r="N3192" s="69"/>
      <c r="O3192" s="69"/>
      <c r="P3192" s="69"/>
      <c r="Q3192" s="69"/>
      <c r="R3192" s="69"/>
      <c r="S3192" s="69"/>
      <c r="T3192" s="69"/>
      <c r="U3192" s="69"/>
      <c r="V3192" s="69"/>
      <c r="W3192" s="69"/>
    </row>
    <row r="3193" spans="7:23" x14ac:dyDescent="0.3">
      <c r="G3193" s="69"/>
      <c r="H3193" s="69"/>
      <c r="I3193" s="69"/>
      <c r="J3193" s="69"/>
      <c r="K3193" s="69"/>
      <c r="L3193" s="69"/>
      <c r="M3193" s="69"/>
      <c r="N3193" s="69"/>
      <c r="O3193" s="69"/>
      <c r="P3193" s="69"/>
      <c r="Q3193" s="69"/>
      <c r="R3193" s="69"/>
      <c r="S3193" s="69"/>
      <c r="T3193" s="69"/>
      <c r="U3193" s="69"/>
      <c r="V3193" s="69"/>
      <c r="W3193" s="69"/>
    </row>
    <row r="3194" spans="7:23" x14ac:dyDescent="0.3">
      <c r="G3194" s="69"/>
      <c r="H3194" s="69"/>
      <c r="I3194" s="69"/>
      <c r="J3194" s="69"/>
      <c r="K3194" s="69"/>
      <c r="L3194" s="69"/>
      <c r="M3194" s="69"/>
      <c r="N3194" s="69"/>
      <c r="O3194" s="69"/>
      <c r="P3194" s="69"/>
      <c r="Q3194" s="69"/>
      <c r="R3194" s="69"/>
      <c r="S3194" s="69"/>
      <c r="T3194" s="69"/>
      <c r="U3194" s="69"/>
      <c r="V3194" s="69"/>
      <c r="W3194" s="69"/>
    </row>
    <row r="3195" spans="7:23" x14ac:dyDescent="0.3">
      <c r="G3195" s="69"/>
      <c r="H3195" s="69"/>
      <c r="I3195" s="69"/>
      <c r="J3195" s="69"/>
      <c r="K3195" s="69"/>
      <c r="L3195" s="69"/>
      <c r="M3195" s="69"/>
      <c r="N3195" s="69"/>
      <c r="O3195" s="69"/>
      <c r="P3195" s="69"/>
      <c r="Q3195" s="69"/>
      <c r="R3195" s="69"/>
      <c r="S3195" s="69"/>
      <c r="T3195" s="69"/>
      <c r="U3195" s="69"/>
      <c r="V3195" s="69"/>
      <c r="W3195" s="69"/>
    </row>
    <row r="3196" spans="7:23" x14ac:dyDescent="0.3">
      <c r="G3196" s="69"/>
      <c r="H3196" s="69"/>
      <c r="I3196" s="69"/>
      <c r="J3196" s="69"/>
      <c r="K3196" s="69"/>
      <c r="L3196" s="69"/>
      <c r="M3196" s="69"/>
      <c r="N3196" s="69"/>
      <c r="O3196" s="69"/>
      <c r="P3196" s="69"/>
      <c r="Q3196" s="69"/>
      <c r="R3196" s="69"/>
      <c r="S3196" s="69"/>
      <c r="T3196" s="69"/>
      <c r="U3196" s="69"/>
      <c r="V3196" s="69"/>
      <c r="W3196" s="69"/>
    </row>
    <row r="3197" spans="7:23" x14ac:dyDescent="0.3">
      <c r="G3197" s="69"/>
      <c r="H3197" s="69"/>
      <c r="I3197" s="69"/>
      <c r="J3197" s="69"/>
      <c r="K3197" s="69"/>
      <c r="L3197" s="69"/>
      <c r="M3197" s="69"/>
      <c r="N3197" s="69"/>
      <c r="O3197" s="69"/>
      <c r="P3197" s="69"/>
      <c r="Q3197" s="69"/>
      <c r="R3197" s="69"/>
      <c r="S3197" s="69"/>
      <c r="T3197" s="69"/>
      <c r="U3197" s="69"/>
      <c r="V3197" s="69"/>
      <c r="W3197" s="69"/>
    </row>
    <row r="3198" spans="7:23" x14ac:dyDescent="0.3">
      <c r="G3198" s="69"/>
      <c r="H3198" s="69"/>
      <c r="I3198" s="69"/>
      <c r="J3198" s="69"/>
      <c r="K3198" s="69"/>
      <c r="L3198" s="69"/>
      <c r="M3198" s="69"/>
      <c r="N3198" s="69"/>
      <c r="O3198" s="69"/>
      <c r="P3198" s="69"/>
      <c r="Q3198" s="69"/>
      <c r="R3198" s="69"/>
      <c r="S3198" s="69"/>
      <c r="T3198" s="69"/>
      <c r="U3198" s="69"/>
      <c r="V3198" s="69"/>
      <c r="W3198" s="69"/>
    </row>
    <row r="3199" spans="7:23" x14ac:dyDescent="0.3">
      <c r="G3199" s="69"/>
      <c r="H3199" s="69"/>
      <c r="I3199" s="69"/>
      <c r="J3199" s="69"/>
      <c r="K3199" s="69"/>
      <c r="L3199" s="69"/>
      <c r="M3199" s="69"/>
      <c r="N3199" s="69"/>
      <c r="O3199" s="69"/>
      <c r="P3199" s="69"/>
      <c r="Q3199" s="69"/>
      <c r="R3199" s="69"/>
      <c r="S3199" s="69"/>
      <c r="T3199" s="69"/>
      <c r="U3199" s="69"/>
      <c r="V3199" s="69"/>
      <c r="W3199" s="69"/>
    </row>
    <row r="3200" spans="7:23" x14ac:dyDescent="0.3">
      <c r="G3200" s="69"/>
      <c r="H3200" s="69"/>
      <c r="I3200" s="69"/>
      <c r="J3200" s="69"/>
      <c r="K3200" s="69"/>
      <c r="L3200" s="69"/>
      <c r="M3200" s="69"/>
      <c r="N3200" s="69"/>
      <c r="O3200" s="69"/>
      <c r="P3200" s="69"/>
      <c r="Q3200" s="69"/>
      <c r="R3200" s="69"/>
      <c r="S3200" s="69"/>
      <c r="T3200" s="69"/>
      <c r="U3200" s="69"/>
      <c r="V3200" s="69"/>
      <c r="W3200" s="69"/>
    </row>
    <row r="3201" spans="7:23" x14ac:dyDescent="0.3">
      <c r="G3201" s="69"/>
      <c r="H3201" s="69"/>
      <c r="I3201" s="69"/>
      <c r="J3201" s="69"/>
      <c r="K3201" s="69"/>
      <c r="L3201" s="69"/>
      <c r="M3201" s="69"/>
      <c r="N3201" s="69"/>
      <c r="O3201" s="69"/>
      <c r="P3201" s="69"/>
      <c r="Q3201" s="69"/>
      <c r="R3201" s="69"/>
      <c r="S3201" s="69"/>
      <c r="T3201" s="69"/>
      <c r="U3201" s="69"/>
      <c r="V3201" s="69"/>
      <c r="W3201" s="69"/>
    </row>
    <row r="3202" spans="7:23" x14ac:dyDescent="0.3">
      <c r="G3202" s="69"/>
      <c r="H3202" s="69"/>
      <c r="I3202" s="69"/>
      <c r="J3202" s="69"/>
      <c r="K3202" s="69"/>
      <c r="L3202" s="69"/>
      <c r="M3202" s="69"/>
      <c r="N3202" s="69"/>
      <c r="O3202" s="69"/>
      <c r="P3202" s="69"/>
      <c r="Q3202" s="69"/>
      <c r="R3202" s="69"/>
      <c r="S3202" s="69"/>
      <c r="T3202" s="69"/>
      <c r="U3202" s="69"/>
      <c r="V3202" s="69"/>
      <c r="W3202" s="69"/>
    </row>
    <row r="3203" spans="7:23" x14ac:dyDescent="0.3">
      <c r="G3203" s="69"/>
      <c r="H3203" s="69"/>
      <c r="I3203" s="69"/>
      <c r="J3203" s="69"/>
      <c r="K3203" s="69"/>
      <c r="L3203" s="69"/>
      <c r="M3203" s="69"/>
      <c r="N3203" s="69"/>
      <c r="O3203" s="69"/>
      <c r="P3203" s="69"/>
      <c r="Q3203" s="69"/>
      <c r="R3203" s="69"/>
      <c r="S3203" s="69"/>
      <c r="T3203" s="69"/>
      <c r="U3203" s="69"/>
      <c r="V3203" s="69"/>
      <c r="W3203" s="69"/>
    </row>
    <row r="3204" spans="7:23" x14ac:dyDescent="0.3">
      <c r="G3204" s="69"/>
      <c r="H3204" s="69"/>
      <c r="I3204" s="69"/>
      <c r="J3204" s="69"/>
      <c r="K3204" s="69"/>
      <c r="L3204" s="69"/>
      <c r="M3204" s="69"/>
      <c r="N3204" s="69"/>
      <c r="O3204" s="69"/>
      <c r="P3204" s="69"/>
      <c r="Q3204" s="69"/>
      <c r="R3204" s="69"/>
      <c r="S3204" s="69"/>
      <c r="T3204" s="69"/>
      <c r="U3204" s="69"/>
      <c r="V3204" s="69"/>
      <c r="W3204" s="69"/>
    </row>
    <row r="3205" spans="7:23" x14ac:dyDescent="0.3">
      <c r="G3205" s="69"/>
      <c r="H3205" s="69"/>
      <c r="I3205" s="69"/>
      <c r="J3205" s="69"/>
      <c r="K3205" s="69"/>
      <c r="L3205" s="69"/>
      <c r="M3205" s="69"/>
      <c r="N3205" s="69"/>
      <c r="O3205" s="69"/>
      <c r="P3205" s="69"/>
      <c r="Q3205" s="69"/>
      <c r="R3205" s="69"/>
      <c r="S3205" s="69"/>
      <c r="T3205" s="69"/>
      <c r="U3205" s="69"/>
      <c r="V3205" s="69"/>
      <c r="W3205" s="69"/>
    </row>
    <row r="3206" spans="7:23" x14ac:dyDescent="0.3">
      <c r="G3206" s="69"/>
      <c r="H3206" s="69"/>
      <c r="I3206" s="69"/>
      <c r="J3206" s="69"/>
      <c r="K3206" s="69"/>
      <c r="L3206" s="69"/>
      <c r="M3206" s="69"/>
      <c r="N3206" s="69"/>
      <c r="O3206" s="69"/>
      <c r="P3206" s="69"/>
      <c r="Q3206" s="69"/>
      <c r="R3206" s="69"/>
      <c r="S3206" s="69"/>
      <c r="T3206" s="69"/>
      <c r="U3206" s="69"/>
      <c r="V3206" s="69"/>
      <c r="W3206" s="69"/>
    </row>
    <row r="3207" spans="7:23" x14ac:dyDescent="0.3">
      <c r="G3207" s="69"/>
      <c r="H3207" s="69"/>
      <c r="I3207" s="69"/>
      <c r="J3207" s="69"/>
      <c r="K3207" s="69"/>
      <c r="L3207" s="69"/>
      <c r="M3207" s="69"/>
      <c r="N3207" s="69"/>
      <c r="O3207" s="69"/>
      <c r="P3207" s="69"/>
      <c r="Q3207" s="69"/>
      <c r="R3207" s="69"/>
      <c r="S3207" s="69"/>
      <c r="T3207" s="69"/>
      <c r="U3207" s="69"/>
      <c r="V3207" s="69"/>
      <c r="W3207" s="69"/>
    </row>
    <row r="3208" spans="7:23" x14ac:dyDescent="0.3">
      <c r="G3208" s="69"/>
      <c r="H3208" s="69"/>
      <c r="I3208" s="69"/>
      <c r="J3208" s="69"/>
      <c r="K3208" s="69"/>
      <c r="L3208" s="69"/>
      <c r="M3208" s="69"/>
      <c r="N3208" s="69"/>
      <c r="O3208" s="69"/>
      <c r="P3208" s="69"/>
      <c r="Q3208" s="69"/>
      <c r="R3208" s="69"/>
      <c r="S3208" s="69"/>
      <c r="T3208" s="69"/>
      <c r="U3208" s="69"/>
      <c r="V3208" s="69"/>
      <c r="W3208" s="69"/>
    </row>
    <row r="3209" spans="7:23" x14ac:dyDescent="0.3">
      <c r="G3209" s="69"/>
      <c r="H3209" s="69"/>
      <c r="I3209" s="69"/>
      <c r="J3209" s="69"/>
      <c r="K3209" s="69"/>
      <c r="L3209" s="69"/>
      <c r="M3209" s="69"/>
      <c r="N3209" s="69"/>
      <c r="O3209" s="69"/>
      <c r="P3209" s="69"/>
      <c r="Q3209" s="69"/>
      <c r="R3209" s="69"/>
      <c r="S3209" s="69"/>
      <c r="T3209" s="69"/>
      <c r="U3209" s="69"/>
      <c r="V3209" s="69"/>
      <c r="W3209" s="69"/>
    </row>
    <row r="3210" spans="7:23" x14ac:dyDescent="0.3">
      <c r="G3210" s="69"/>
      <c r="H3210" s="69"/>
      <c r="I3210" s="69"/>
      <c r="J3210" s="69"/>
      <c r="K3210" s="69"/>
      <c r="L3210" s="69"/>
      <c r="M3210" s="69"/>
      <c r="N3210" s="69"/>
      <c r="O3210" s="69"/>
      <c r="P3210" s="69"/>
      <c r="Q3210" s="69"/>
      <c r="R3210" s="69"/>
      <c r="S3210" s="69"/>
      <c r="T3210" s="69"/>
      <c r="U3210" s="69"/>
      <c r="V3210" s="69"/>
      <c r="W3210" s="69"/>
    </row>
    <row r="3211" spans="7:23" x14ac:dyDescent="0.3">
      <c r="G3211" s="69"/>
      <c r="H3211" s="69"/>
      <c r="I3211" s="69"/>
      <c r="J3211" s="69"/>
      <c r="K3211" s="69"/>
      <c r="L3211" s="69"/>
      <c r="M3211" s="69"/>
      <c r="N3211" s="69"/>
      <c r="O3211" s="69"/>
      <c r="P3211" s="69"/>
      <c r="Q3211" s="69"/>
      <c r="R3211" s="69"/>
      <c r="S3211" s="69"/>
      <c r="T3211" s="69"/>
      <c r="U3211" s="69"/>
      <c r="V3211" s="69"/>
      <c r="W3211" s="69"/>
    </row>
    <row r="3212" spans="7:23" x14ac:dyDescent="0.3">
      <c r="G3212" s="69"/>
      <c r="H3212" s="69"/>
      <c r="I3212" s="69"/>
      <c r="J3212" s="69"/>
      <c r="K3212" s="69"/>
      <c r="L3212" s="69"/>
      <c r="M3212" s="69"/>
      <c r="N3212" s="69"/>
      <c r="O3212" s="69"/>
      <c r="P3212" s="69"/>
      <c r="Q3212" s="69"/>
      <c r="R3212" s="69"/>
      <c r="S3212" s="69"/>
      <c r="T3212" s="69"/>
      <c r="U3212" s="69"/>
      <c r="V3212" s="69"/>
      <c r="W3212" s="69"/>
    </row>
    <row r="3213" spans="7:23" x14ac:dyDescent="0.3">
      <c r="G3213" s="69"/>
      <c r="H3213" s="69"/>
      <c r="I3213" s="69"/>
      <c r="J3213" s="69"/>
      <c r="K3213" s="69"/>
      <c r="L3213" s="69"/>
      <c r="M3213" s="69"/>
      <c r="N3213" s="69"/>
      <c r="O3213" s="69"/>
      <c r="P3213" s="69"/>
      <c r="Q3213" s="69"/>
      <c r="R3213" s="69"/>
      <c r="S3213" s="69"/>
      <c r="T3213" s="69"/>
      <c r="U3213" s="69"/>
      <c r="V3213" s="69"/>
      <c r="W3213" s="69"/>
    </row>
    <row r="3214" spans="7:23" x14ac:dyDescent="0.3">
      <c r="G3214" s="69"/>
      <c r="H3214" s="69"/>
      <c r="I3214" s="69"/>
      <c r="J3214" s="69"/>
      <c r="K3214" s="69"/>
      <c r="L3214" s="69"/>
      <c r="M3214" s="69"/>
      <c r="N3214" s="69"/>
      <c r="O3214" s="69"/>
      <c r="P3214" s="69"/>
      <c r="Q3214" s="69"/>
      <c r="R3214" s="69"/>
      <c r="S3214" s="69"/>
      <c r="T3214" s="69"/>
      <c r="U3214" s="69"/>
      <c r="V3214" s="69"/>
      <c r="W3214" s="69"/>
    </row>
    <row r="3215" spans="7:23" x14ac:dyDescent="0.3">
      <c r="G3215" s="69"/>
      <c r="H3215" s="69"/>
      <c r="I3215" s="69"/>
      <c r="J3215" s="69"/>
      <c r="K3215" s="69"/>
      <c r="L3215" s="69"/>
      <c r="M3215" s="69"/>
      <c r="N3215" s="69"/>
      <c r="O3215" s="69"/>
      <c r="P3215" s="69"/>
      <c r="Q3215" s="69"/>
      <c r="R3215" s="69"/>
      <c r="S3215" s="69"/>
      <c r="T3215" s="69"/>
      <c r="U3215" s="69"/>
      <c r="V3215" s="69"/>
      <c r="W3215" s="69"/>
    </row>
    <row r="3216" spans="7:23" x14ac:dyDescent="0.3">
      <c r="G3216" s="69"/>
      <c r="H3216" s="69"/>
      <c r="I3216" s="69"/>
      <c r="J3216" s="69"/>
      <c r="K3216" s="69"/>
      <c r="L3216" s="69"/>
      <c r="M3216" s="69"/>
      <c r="N3216" s="69"/>
      <c r="O3216" s="69"/>
      <c r="P3216" s="69"/>
      <c r="Q3216" s="69"/>
      <c r="R3216" s="69"/>
      <c r="S3216" s="69"/>
      <c r="T3216" s="69"/>
      <c r="U3216" s="69"/>
      <c r="V3216" s="69"/>
      <c r="W3216" s="69"/>
    </row>
    <row r="3217" spans="1:23" x14ac:dyDescent="0.3">
      <c r="G3217" s="69"/>
      <c r="H3217" s="69"/>
      <c r="I3217" s="69"/>
      <c r="J3217" s="69"/>
      <c r="K3217" s="69"/>
      <c r="L3217" s="69"/>
      <c r="M3217" s="69"/>
      <c r="N3217" s="69"/>
      <c r="O3217" s="69"/>
      <c r="P3217" s="69"/>
      <c r="Q3217" s="69"/>
      <c r="R3217" s="69"/>
      <c r="S3217" s="69"/>
      <c r="T3217" s="69"/>
      <c r="U3217" s="69"/>
      <c r="V3217" s="69"/>
      <c r="W3217" s="69"/>
    </row>
    <row r="3218" spans="1:23" x14ac:dyDescent="0.3">
      <c r="G3218" s="69"/>
      <c r="H3218" s="69"/>
      <c r="I3218" s="69"/>
      <c r="J3218" s="69"/>
      <c r="K3218" s="69"/>
      <c r="L3218" s="69"/>
      <c r="M3218" s="69"/>
      <c r="N3218" s="69"/>
      <c r="O3218" s="69"/>
      <c r="P3218" s="69"/>
      <c r="Q3218" s="69"/>
      <c r="R3218" s="69"/>
      <c r="S3218" s="69"/>
      <c r="T3218" s="69"/>
      <c r="U3218" s="69"/>
      <c r="V3218" s="69"/>
      <c r="W3218" s="69"/>
    </row>
    <row r="3219" spans="1:23" x14ac:dyDescent="0.3">
      <c r="G3219" s="69"/>
      <c r="H3219" s="69"/>
      <c r="I3219" s="69"/>
      <c r="J3219" s="69"/>
      <c r="K3219" s="69"/>
      <c r="L3219" s="69"/>
      <c r="M3219" s="69"/>
      <c r="N3219" s="69"/>
      <c r="O3219" s="69"/>
      <c r="P3219" s="69"/>
      <c r="Q3219" s="69"/>
      <c r="R3219" s="69"/>
      <c r="S3219" s="69"/>
      <c r="T3219" s="69"/>
      <c r="U3219" s="69"/>
      <c r="V3219" s="69"/>
      <c r="W3219" s="69"/>
    </row>
    <row r="3220" spans="1:23" ht="21" x14ac:dyDescent="0.4">
      <c r="A3220" s="48"/>
      <c r="G3220" s="69"/>
      <c r="H3220" s="69"/>
      <c r="I3220" s="69"/>
      <c r="J3220" s="69"/>
      <c r="K3220" s="69"/>
      <c r="L3220" s="69"/>
      <c r="M3220" s="69"/>
      <c r="N3220" s="69"/>
      <c r="O3220" s="69"/>
      <c r="P3220" s="69"/>
      <c r="Q3220" s="69"/>
      <c r="R3220" s="69"/>
      <c r="S3220" s="69"/>
      <c r="T3220" s="69"/>
      <c r="U3220" s="69"/>
      <c r="V3220" s="69"/>
      <c r="W3220" s="69"/>
    </row>
    <row r="3221" spans="1:23" x14ac:dyDescent="0.3">
      <c r="G3221" s="69"/>
      <c r="H3221" s="69"/>
      <c r="I3221" s="69"/>
      <c r="J3221" s="69"/>
      <c r="K3221" s="69"/>
      <c r="L3221" s="69"/>
      <c r="M3221" s="69"/>
      <c r="N3221" s="69"/>
      <c r="O3221" s="69"/>
      <c r="P3221" s="69"/>
      <c r="Q3221" s="69"/>
      <c r="R3221" s="69"/>
      <c r="S3221" s="69"/>
      <c r="T3221" s="69"/>
      <c r="U3221" s="69"/>
      <c r="V3221" s="69"/>
      <c r="W3221" s="69"/>
    </row>
    <row r="3222" spans="1:23" x14ac:dyDescent="0.3">
      <c r="G3222" s="69"/>
      <c r="H3222" s="69"/>
      <c r="I3222" s="69"/>
      <c r="J3222" s="69"/>
      <c r="K3222" s="69"/>
      <c r="L3222" s="69"/>
      <c r="M3222" s="69"/>
      <c r="N3222" s="69"/>
      <c r="O3222" s="69"/>
      <c r="P3222" s="69"/>
      <c r="Q3222" s="69"/>
      <c r="R3222" s="69"/>
      <c r="S3222" s="69"/>
      <c r="T3222" s="69"/>
      <c r="U3222" s="69"/>
      <c r="V3222" s="69"/>
      <c r="W3222" s="69"/>
    </row>
    <row r="3223" spans="1:23" x14ac:dyDescent="0.3">
      <c r="G3223" s="69"/>
      <c r="H3223" s="69"/>
      <c r="I3223" s="69"/>
      <c r="J3223" s="69"/>
      <c r="K3223" s="69"/>
      <c r="L3223" s="69"/>
      <c r="M3223" s="69"/>
      <c r="N3223" s="69"/>
      <c r="O3223" s="69"/>
      <c r="P3223" s="69"/>
      <c r="Q3223" s="69"/>
      <c r="R3223" s="69"/>
      <c r="S3223" s="69"/>
      <c r="T3223" s="69"/>
      <c r="U3223" s="69"/>
      <c r="V3223" s="69"/>
      <c r="W3223" s="69"/>
    </row>
    <row r="3224" spans="1:23" x14ac:dyDescent="0.3">
      <c r="G3224" s="69"/>
      <c r="H3224" s="69"/>
      <c r="I3224" s="69"/>
      <c r="J3224" s="69"/>
      <c r="K3224" s="69"/>
      <c r="L3224" s="69"/>
      <c r="M3224" s="69"/>
      <c r="N3224" s="69"/>
      <c r="O3224" s="69"/>
      <c r="P3224" s="69"/>
      <c r="Q3224" s="69"/>
      <c r="R3224" s="69"/>
      <c r="S3224" s="69"/>
      <c r="T3224" s="69"/>
      <c r="U3224" s="69"/>
      <c r="V3224" s="69"/>
      <c r="W3224" s="69"/>
    </row>
    <row r="3225" spans="1:23" x14ac:dyDescent="0.3">
      <c r="G3225" s="69"/>
      <c r="H3225" s="69"/>
      <c r="I3225" s="69"/>
      <c r="J3225" s="69"/>
      <c r="K3225" s="69"/>
      <c r="L3225" s="69"/>
      <c r="M3225" s="69"/>
      <c r="N3225" s="69"/>
      <c r="O3225" s="69"/>
      <c r="P3225" s="69"/>
      <c r="Q3225" s="69"/>
      <c r="R3225" s="69"/>
      <c r="S3225" s="69"/>
      <c r="T3225" s="69"/>
      <c r="U3225" s="69"/>
      <c r="V3225" s="69"/>
      <c r="W3225" s="69"/>
    </row>
    <row r="3226" spans="1:23" x14ac:dyDescent="0.3">
      <c r="G3226" s="69"/>
      <c r="H3226" s="69"/>
      <c r="I3226" s="69"/>
      <c r="J3226" s="69"/>
      <c r="K3226" s="69"/>
      <c r="L3226" s="69"/>
      <c r="M3226" s="69"/>
      <c r="N3226" s="69"/>
      <c r="O3226" s="69"/>
      <c r="P3226" s="69"/>
      <c r="Q3226" s="69"/>
      <c r="R3226" s="69"/>
      <c r="S3226" s="69"/>
      <c r="T3226" s="69"/>
      <c r="U3226" s="69"/>
      <c r="V3226" s="69"/>
      <c r="W3226" s="69"/>
    </row>
    <row r="3227" spans="1:23" x14ac:dyDescent="0.3">
      <c r="G3227" s="69"/>
      <c r="H3227" s="69"/>
      <c r="I3227" s="69"/>
      <c r="J3227" s="69"/>
      <c r="K3227" s="69"/>
      <c r="L3227" s="69"/>
      <c r="M3227" s="69"/>
      <c r="N3227" s="69"/>
      <c r="O3227" s="69"/>
      <c r="P3227" s="69"/>
      <c r="Q3227" s="69"/>
      <c r="R3227" s="69"/>
      <c r="S3227" s="69"/>
      <c r="T3227" s="69"/>
      <c r="U3227" s="69"/>
      <c r="V3227" s="69"/>
      <c r="W3227" s="69"/>
    </row>
    <row r="3228" spans="1:23" x14ac:dyDescent="0.3">
      <c r="G3228" s="69"/>
      <c r="H3228" s="69"/>
      <c r="I3228" s="69"/>
      <c r="J3228" s="69"/>
      <c r="K3228" s="69"/>
      <c r="L3228" s="69"/>
      <c r="M3228" s="69"/>
      <c r="N3228" s="69"/>
      <c r="O3228" s="69"/>
      <c r="P3228" s="69"/>
      <c r="Q3228" s="69"/>
      <c r="R3228" s="69"/>
      <c r="S3228" s="69"/>
      <c r="T3228" s="69"/>
      <c r="U3228" s="69"/>
      <c r="V3228" s="69"/>
      <c r="W3228" s="69"/>
    </row>
    <row r="3229" spans="1:23" x14ac:dyDescent="0.3">
      <c r="G3229" s="69"/>
      <c r="H3229" s="69"/>
      <c r="I3229" s="69"/>
      <c r="J3229" s="69"/>
      <c r="K3229" s="69"/>
      <c r="L3229" s="69"/>
      <c r="M3229" s="69"/>
      <c r="N3229" s="69"/>
      <c r="O3229" s="69"/>
      <c r="P3229" s="69"/>
      <c r="Q3229" s="69"/>
      <c r="R3229" s="69"/>
      <c r="S3229" s="69"/>
      <c r="T3229" s="69"/>
      <c r="U3229" s="69"/>
      <c r="V3229" s="69"/>
      <c r="W3229" s="69"/>
    </row>
    <row r="3230" spans="1:23" x14ac:dyDescent="0.3">
      <c r="G3230" s="69"/>
      <c r="H3230" s="69"/>
      <c r="I3230" s="69"/>
      <c r="J3230" s="69"/>
      <c r="K3230" s="69"/>
      <c r="L3230" s="69"/>
      <c r="M3230" s="69"/>
      <c r="N3230" s="69"/>
      <c r="O3230" s="69"/>
      <c r="P3230" s="69"/>
      <c r="Q3230" s="69"/>
      <c r="R3230" s="69"/>
      <c r="S3230" s="69"/>
      <c r="T3230" s="69"/>
      <c r="U3230" s="69"/>
      <c r="V3230" s="69"/>
      <c r="W3230" s="69"/>
    </row>
    <row r="3231" spans="1:23" x14ac:dyDescent="0.3">
      <c r="G3231" s="69"/>
      <c r="H3231" s="69"/>
      <c r="I3231" s="69"/>
      <c r="J3231" s="69"/>
      <c r="K3231" s="69"/>
      <c r="L3231" s="69"/>
      <c r="M3231" s="69"/>
      <c r="N3231" s="69"/>
      <c r="O3231" s="69"/>
      <c r="P3231" s="69"/>
      <c r="Q3231" s="69"/>
      <c r="R3231" s="69"/>
      <c r="S3231" s="69"/>
      <c r="T3231" s="69"/>
      <c r="U3231" s="69"/>
      <c r="V3231" s="69"/>
      <c r="W3231" s="69"/>
    </row>
    <row r="3232" spans="1:23" x14ac:dyDescent="0.3">
      <c r="G3232" s="69"/>
      <c r="H3232" s="69"/>
      <c r="I3232" s="69"/>
      <c r="J3232" s="69"/>
      <c r="K3232" s="69"/>
      <c r="L3232" s="69"/>
      <c r="M3232" s="69"/>
      <c r="N3232" s="69"/>
      <c r="O3232" s="69"/>
      <c r="P3232" s="69"/>
      <c r="Q3232" s="69"/>
      <c r="R3232" s="69"/>
      <c r="S3232" s="69"/>
      <c r="T3232" s="69"/>
      <c r="U3232" s="69"/>
      <c r="V3232" s="69"/>
      <c r="W3232" s="69"/>
    </row>
    <row r="3233" spans="7:23" x14ac:dyDescent="0.3">
      <c r="G3233" s="69"/>
      <c r="H3233" s="69"/>
      <c r="I3233" s="69"/>
      <c r="J3233" s="69"/>
      <c r="K3233" s="69"/>
      <c r="L3233" s="69"/>
      <c r="M3233" s="69"/>
      <c r="N3233" s="69"/>
      <c r="O3233" s="69"/>
      <c r="P3233" s="69"/>
      <c r="Q3233" s="69"/>
      <c r="R3233" s="69"/>
      <c r="S3233" s="69"/>
      <c r="T3233" s="69"/>
      <c r="U3233" s="69"/>
      <c r="V3233" s="69"/>
      <c r="W3233" s="69"/>
    </row>
    <row r="3234" spans="7:23" x14ac:dyDescent="0.3">
      <c r="G3234" s="69"/>
      <c r="H3234" s="69"/>
      <c r="I3234" s="69"/>
      <c r="J3234" s="69"/>
      <c r="K3234" s="69"/>
      <c r="L3234" s="69"/>
      <c r="M3234" s="69"/>
      <c r="N3234" s="69"/>
      <c r="O3234" s="69"/>
      <c r="P3234" s="69"/>
      <c r="Q3234" s="69"/>
      <c r="R3234" s="69"/>
      <c r="S3234" s="69"/>
      <c r="T3234" s="69"/>
      <c r="U3234" s="69"/>
      <c r="V3234" s="69"/>
      <c r="W3234" s="69"/>
    </row>
    <row r="3235" spans="7:23" x14ac:dyDescent="0.3">
      <c r="G3235" s="69"/>
      <c r="H3235" s="69"/>
      <c r="I3235" s="69"/>
      <c r="J3235" s="69"/>
      <c r="K3235" s="69"/>
      <c r="L3235" s="69"/>
      <c r="M3235" s="69"/>
      <c r="N3235" s="69"/>
      <c r="O3235" s="69"/>
      <c r="P3235" s="69"/>
      <c r="Q3235" s="69"/>
      <c r="R3235" s="69"/>
      <c r="S3235" s="69"/>
      <c r="T3235" s="69"/>
      <c r="U3235" s="69"/>
      <c r="V3235" s="69"/>
      <c r="W3235" s="69"/>
    </row>
    <row r="3236" spans="7:23" x14ac:dyDescent="0.3">
      <c r="G3236" s="69"/>
      <c r="H3236" s="69"/>
      <c r="I3236" s="69"/>
      <c r="J3236" s="69"/>
      <c r="K3236" s="69"/>
      <c r="L3236" s="69"/>
      <c r="M3236" s="69"/>
      <c r="N3236" s="69"/>
      <c r="O3236" s="69"/>
      <c r="P3236" s="69"/>
      <c r="Q3236" s="69"/>
      <c r="R3236" s="69"/>
      <c r="S3236" s="69"/>
      <c r="T3236" s="69"/>
      <c r="U3236" s="69"/>
      <c r="V3236" s="69"/>
      <c r="W3236" s="69"/>
    </row>
    <row r="3237" spans="7:23" x14ac:dyDescent="0.3">
      <c r="G3237" s="69"/>
      <c r="H3237" s="69"/>
      <c r="I3237" s="69"/>
      <c r="J3237" s="69"/>
      <c r="K3237" s="69"/>
      <c r="L3237" s="69"/>
      <c r="M3237" s="69"/>
      <c r="N3237" s="69"/>
      <c r="O3237" s="69"/>
      <c r="P3237" s="69"/>
      <c r="Q3237" s="69"/>
      <c r="R3237" s="69"/>
      <c r="S3237" s="69"/>
      <c r="T3237" s="69"/>
      <c r="U3237" s="69"/>
      <c r="V3237" s="69"/>
      <c r="W3237" s="69"/>
    </row>
    <row r="3238" spans="7:23" x14ac:dyDescent="0.3">
      <c r="G3238" s="69"/>
      <c r="H3238" s="69"/>
      <c r="I3238" s="69"/>
      <c r="J3238" s="69"/>
      <c r="K3238" s="69"/>
      <c r="L3238" s="69"/>
      <c r="M3238" s="69"/>
      <c r="N3238" s="69"/>
      <c r="O3238" s="69"/>
      <c r="P3238" s="69"/>
      <c r="Q3238" s="69"/>
      <c r="R3238" s="69"/>
      <c r="S3238" s="69"/>
      <c r="T3238" s="69"/>
      <c r="U3238" s="69"/>
      <c r="V3238" s="69"/>
      <c r="W3238" s="69"/>
    </row>
    <row r="3239" spans="7:23" x14ac:dyDescent="0.3">
      <c r="G3239" s="69"/>
      <c r="H3239" s="69"/>
      <c r="I3239" s="69"/>
      <c r="J3239" s="69"/>
      <c r="K3239" s="69"/>
      <c r="L3239" s="69"/>
      <c r="M3239" s="69"/>
      <c r="N3239" s="69"/>
      <c r="O3239" s="69"/>
      <c r="P3239" s="69"/>
      <c r="Q3239" s="69"/>
      <c r="R3239" s="69"/>
      <c r="S3239" s="69"/>
      <c r="T3239" s="69"/>
      <c r="U3239" s="69"/>
      <c r="V3239" s="69"/>
      <c r="W3239" s="69"/>
    </row>
    <row r="3240" spans="7:23" x14ac:dyDescent="0.3">
      <c r="G3240" s="69"/>
      <c r="H3240" s="69"/>
      <c r="I3240" s="69"/>
      <c r="J3240" s="69"/>
      <c r="K3240" s="69"/>
      <c r="L3240" s="69"/>
      <c r="M3240" s="69"/>
      <c r="N3240" s="69"/>
      <c r="O3240" s="69"/>
      <c r="P3240" s="69"/>
      <c r="Q3240" s="69"/>
      <c r="R3240" s="69"/>
      <c r="S3240" s="69"/>
      <c r="T3240" s="69"/>
      <c r="U3240" s="69"/>
      <c r="V3240" s="69"/>
      <c r="W3240" s="69"/>
    </row>
    <row r="3241" spans="7:23" x14ac:dyDescent="0.3">
      <c r="G3241" s="69"/>
      <c r="H3241" s="69"/>
      <c r="I3241" s="69"/>
      <c r="J3241" s="69"/>
      <c r="K3241" s="69"/>
      <c r="L3241" s="69"/>
      <c r="M3241" s="69"/>
      <c r="N3241" s="69"/>
      <c r="O3241" s="69"/>
      <c r="P3241" s="69"/>
      <c r="Q3241" s="69"/>
      <c r="R3241" s="69"/>
      <c r="S3241" s="69"/>
      <c r="T3241" s="69"/>
      <c r="U3241" s="69"/>
      <c r="V3241" s="69"/>
      <c r="W3241" s="69"/>
    </row>
    <row r="3242" spans="7:23" x14ac:dyDescent="0.3">
      <c r="G3242" s="69"/>
      <c r="H3242" s="69"/>
      <c r="I3242" s="69"/>
      <c r="J3242" s="69"/>
      <c r="K3242" s="69"/>
      <c r="L3242" s="69"/>
      <c r="M3242" s="69"/>
      <c r="N3242" s="69"/>
      <c r="O3242" s="69"/>
      <c r="P3242" s="69"/>
      <c r="Q3242" s="69"/>
      <c r="R3242" s="69"/>
      <c r="S3242" s="69"/>
      <c r="T3242" s="69"/>
      <c r="U3242" s="69"/>
      <c r="V3242" s="69"/>
      <c r="W3242" s="69"/>
    </row>
    <row r="3243" spans="7:23" x14ac:dyDescent="0.3">
      <c r="G3243" s="69"/>
      <c r="H3243" s="69"/>
      <c r="I3243" s="69"/>
      <c r="J3243" s="69"/>
      <c r="K3243" s="69"/>
      <c r="L3243" s="69"/>
      <c r="M3243" s="69"/>
      <c r="N3243" s="69"/>
      <c r="O3243" s="69"/>
      <c r="P3243" s="69"/>
      <c r="Q3243" s="69"/>
      <c r="R3243" s="69"/>
      <c r="S3243" s="69"/>
      <c r="T3243" s="69"/>
      <c r="U3243" s="69"/>
      <c r="V3243" s="69"/>
      <c r="W3243" s="69"/>
    </row>
    <row r="3244" spans="7:23" x14ac:dyDescent="0.3">
      <c r="G3244" s="69"/>
      <c r="H3244" s="69"/>
      <c r="I3244" s="69"/>
      <c r="J3244" s="69"/>
      <c r="K3244" s="69"/>
      <c r="L3244" s="69"/>
      <c r="M3244" s="69"/>
      <c r="N3244" s="69"/>
      <c r="O3244" s="69"/>
      <c r="P3244" s="69"/>
      <c r="Q3244" s="69"/>
      <c r="R3244" s="69"/>
      <c r="S3244" s="69"/>
      <c r="T3244" s="69"/>
      <c r="U3244" s="69"/>
      <c r="V3244" s="69"/>
      <c r="W3244" s="69"/>
    </row>
    <row r="3245" spans="7:23" x14ac:dyDescent="0.3">
      <c r="G3245" s="69"/>
      <c r="H3245" s="69"/>
      <c r="I3245" s="69"/>
      <c r="J3245" s="69"/>
      <c r="K3245" s="69"/>
      <c r="L3245" s="69"/>
      <c r="M3245" s="69"/>
      <c r="N3245" s="69"/>
      <c r="O3245" s="69"/>
      <c r="P3245" s="69"/>
      <c r="Q3245" s="69"/>
      <c r="R3245" s="69"/>
      <c r="S3245" s="69"/>
      <c r="T3245" s="69"/>
      <c r="U3245" s="69"/>
      <c r="V3245" s="69"/>
      <c r="W3245" s="69"/>
    </row>
    <row r="3246" spans="7:23" x14ac:dyDescent="0.3">
      <c r="G3246" s="69"/>
      <c r="H3246" s="69"/>
      <c r="I3246" s="69"/>
      <c r="J3246" s="69"/>
      <c r="K3246" s="69"/>
      <c r="L3246" s="69"/>
      <c r="M3246" s="69"/>
      <c r="N3246" s="69"/>
      <c r="O3246" s="69"/>
      <c r="P3246" s="69"/>
      <c r="Q3246" s="69"/>
      <c r="R3246" s="69"/>
      <c r="S3246" s="69"/>
      <c r="T3246" s="69"/>
      <c r="U3246" s="69"/>
      <c r="V3246" s="69"/>
      <c r="W3246" s="69"/>
    </row>
    <row r="3247" spans="7:23" x14ac:dyDescent="0.3">
      <c r="G3247" s="69"/>
      <c r="H3247" s="69"/>
      <c r="I3247" s="69"/>
      <c r="J3247" s="69"/>
      <c r="K3247" s="69"/>
      <c r="L3247" s="69"/>
      <c r="M3247" s="69"/>
      <c r="N3247" s="69"/>
      <c r="O3247" s="69"/>
      <c r="P3247" s="69"/>
      <c r="Q3247" s="69"/>
      <c r="R3247" s="69"/>
      <c r="S3247" s="69"/>
      <c r="T3247" s="69"/>
      <c r="U3247" s="69"/>
      <c r="V3247" s="69"/>
      <c r="W3247" s="69"/>
    </row>
    <row r="3248" spans="7:23" x14ac:dyDescent="0.3">
      <c r="G3248" s="69"/>
      <c r="H3248" s="69"/>
      <c r="I3248" s="69"/>
      <c r="J3248" s="69"/>
      <c r="K3248" s="69"/>
      <c r="L3248" s="69"/>
      <c r="M3248" s="69"/>
      <c r="N3248" s="69"/>
      <c r="O3248" s="69"/>
      <c r="P3248" s="69"/>
      <c r="Q3248" s="69"/>
      <c r="R3248" s="69"/>
      <c r="S3248" s="69"/>
      <c r="T3248" s="69"/>
      <c r="U3248" s="69"/>
      <c r="V3248" s="69"/>
      <c r="W3248" s="69"/>
    </row>
    <row r="3249" spans="7:23" x14ac:dyDescent="0.3">
      <c r="G3249" s="69"/>
      <c r="H3249" s="69"/>
      <c r="I3249" s="69"/>
      <c r="J3249" s="69"/>
      <c r="K3249" s="69"/>
      <c r="L3249" s="69"/>
      <c r="M3249" s="69"/>
      <c r="N3249" s="69"/>
      <c r="O3249" s="69"/>
      <c r="P3249" s="69"/>
      <c r="Q3249" s="69"/>
      <c r="R3249" s="69"/>
      <c r="S3249" s="69"/>
      <c r="T3249" s="69"/>
      <c r="U3249" s="69"/>
      <c r="V3249" s="69"/>
      <c r="W3249" s="69"/>
    </row>
    <row r="3250" spans="7:23" x14ac:dyDescent="0.3">
      <c r="G3250" s="69"/>
      <c r="H3250" s="69"/>
      <c r="I3250" s="69"/>
      <c r="J3250" s="69"/>
      <c r="K3250" s="69"/>
      <c r="L3250" s="69"/>
      <c r="M3250" s="69"/>
      <c r="N3250" s="69"/>
      <c r="O3250" s="69"/>
      <c r="P3250" s="69"/>
      <c r="Q3250" s="69"/>
      <c r="R3250" s="69"/>
      <c r="S3250" s="69"/>
      <c r="T3250" s="69"/>
      <c r="U3250" s="69"/>
      <c r="V3250" s="69"/>
      <c r="W3250" s="69"/>
    </row>
    <row r="3251" spans="7:23" x14ac:dyDescent="0.3">
      <c r="G3251" s="69"/>
      <c r="H3251" s="69"/>
      <c r="I3251" s="69"/>
      <c r="J3251" s="69"/>
      <c r="K3251" s="69"/>
      <c r="L3251" s="69"/>
      <c r="M3251" s="69"/>
      <c r="N3251" s="69"/>
      <c r="O3251" s="69"/>
      <c r="P3251" s="69"/>
      <c r="Q3251" s="69"/>
      <c r="R3251" s="69"/>
      <c r="S3251" s="69"/>
      <c r="T3251" s="69"/>
      <c r="U3251" s="69"/>
      <c r="V3251" s="69"/>
      <c r="W3251" s="69"/>
    </row>
    <row r="3252" spans="7:23" x14ac:dyDescent="0.3">
      <c r="G3252" s="69"/>
      <c r="H3252" s="69"/>
      <c r="I3252" s="69"/>
      <c r="J3252" s="69"/>
      <c r="K3252" s="69"/>
      <c r="L3252" s="69"/>
      <c r="M3252" s="69"/>
      <c r="N3252" s="69"/>
      <c r="O3252" s="69"/>
      <c r="P3252" s="69"/>
      <c r="Q3252" s="69"/>
      <c r="R3252" s="69"/>
      <c r="S3252" s="69"/>
      <c r="T3252" s="69"/>
      <c r="U3252" s="69"/>
      <c r="V3252" s="69"/>
      <c r="W3252" s="69"/>
    </row>
    <row r="3253" spans="7:23" x14ac:dyDescent="0.3">
      <c r="G3253" s="69"/>
      <c r="H3253" s="69"/>
      <c r="I3253" s="69"/>
      <c r="J3253" s="69"/>
      <c r="K3253" s="69"/>
      <c r="L3253" s="69"/>
      <c r="M3253" s="69"/>
      <c r="N3253" s="69"/>
      <c r="O3253" s="69"/>
      <c r="P3253" s="69"/>
      <c r="Q3253" s="69"/>
      <c r="R3253" s="69"/>
      <c r="S3253" s="69"/>
      <c r="T3253" s="69"/>
      <c r="U3253" s="69"/>
      <c r="V3253" s="69"/>
      <c r="W3253" s="69"/>
    </row>
    <row r="3254" spans="7:23" x14ac:dyDescent="0.3">
      <c r="G3254" s="69"/>
      <c r="H3254" s="69"/>
      <c r="I3254" s="69"/>
      <c r="J3254" s="69"/>
      <c r="K3254" s="69"/>
      <c r="L3254" s="69"/>
      <c r="M3254" s="69"/>
      <c r="N3254" s="69"/>
      <c r="O3254" s="69"/>
      <c r="P3254" s="69"/>
      <c r="Q3254" s="69"/>
      <c r="R3254" s="69"/>
      <c r="S3254" s="69"/>
      <c r="T3254" s="69"/>
      <c r="U3254" s="69"/>
      <c r="V3254" s="69"/>
      <c r="W3254" s="69"/>
    </row>
    <row r="3255" spans="7:23" x14ac:dyDescent="0.3">
      <c r="G3255" s="69"/>
      <c r="H3255" s="69"/>
      <c r="I3255" s="69"/>
      <c r="J3255" s="69"/>
      <c r="K3255" s="69"/>
      <c r="L3255" s="69"/>
      <c r="M3255" s="69"/>
      <c r="N3255" s="69"/>
      <c r="O3255" s="69"/>
      <c r="P3255" s="69"/>
      <c r="Q3255" s="69"/>
      <c r="R3255" s="69"/>
      <c r="S3255" s="69"/>
      <c r="T3255" s="69"/>
      <c r="U3255" s="69"/>
      <c r="V3255" s="69"/>
      <c r="W3255" s="69"/>
    </row>
    <row r="3256" spans="7:23" x14ac:dyDescent="0.3">
      <c r="G3256" s="69"/>
      <c r="H3256" s="69"/>
      <c r="I3256" s="69"/>
      <c r="J3256" s="69"/>
      <c r="K3256" s="69"/>
      <c r="L3256" s="69"/>
      <c r="M3256" s="69"/>
      <c r="N3256" s="69"/>
      <c r="O3256" s="69"/>
      <c r="P3256" s="69"/>
      <c r="Q3256" s="69"/>
      <c r="R3256" s="69"/>
      <c r="S3256" s="69"/>
      <c r="T3256" s="69"/>
      <c r="U3256" s="69"/>
      <c r="V3256" s="69"/>
      <c r="W3256" s="69"/>
    </row>
    <row r="3257" spans="7:23" x14ac:dyDescent="0.3">
      <c r="G3257" s="69"/>
      <c r="H3257" s="69"/>
      <c r="I3257" s="69"/>
      <c r="J3257" s="69"/>
      <c r="K3257" s="69"/>
      <c r="L3257" s="69"/>
      <c r="M3257" s="69"/>
      <c r="N3257" s="69"/>
      <c r="O3257" s="69"/>
      <c r="P3257" s="69"/>
      <c r="Q3257" s="69"/>
      <c r="R3257" s="69"/>
      <c r="S3257" s="69"/>
      <c r="T3257" s="69"/>
      <c r="U3257" s="69"/>
      <c r="V3257" s="69"/>
      <c r="W3257" s="69"/>
    </row>
    <row r="3258" spans="7:23" x14ac:dyDescent="0.3">
      <c r="G3258" s="69"/>
      <c r="H3258" s="69"/>
      <c r="I3258" s="69"/>
      <c r="J3258" s="69"/>
      <c r="K3258" s="69"/>
      <c r="L3258" s="69"/>
      <c r="M3258" s="69"/>
      <c r="N3258" s="69"/>
      <c r="O3258" s="69"/>
      <c r="P3258" s="69"/>
      <c r="Q3258" s="69"/>
      <c r="R3258" s="69"/>
      <c r="S3258" s="69"/>
      <c r="T3258" s="69"/>
      <c r="U3258" s="69"/>
      <c r="V3258" s="69"/>
      <c r="W3258" s="69"/>
    </row>
    <row r="3259" spans="7:23" x14ac:dyDescent="0.3">
      <c r="G3259" s="69"/>
      <c r="H3259" s="69"/>
      <c r="I3259" s="69"/>
      <c r="J3259" s="69"/>
      <c r="K3259" s="69"/>
      <c r="L3259" s="69"/>
      <c r="M3259" s="69"/>
      <c r="N3259" s="69"/>
      <c r="O3259" s="69"/>
      <c r="P3259" s="69"/>
      <c r="Q3259" s="69"/>
      <c r="R3259" s="69"/>
      <c r="S3259" s="69"/>
      <c r="T3259" s="69"/>
      <c r="U3259" s="69"/>
      <c r="V3259" s="69"/>
      <c r="W3259" s="69"/>
    </row>
    <row r="3260" spans="7:23" x14ac:dyDescent="0.3">
      <c r="G3260" s="69"/>
      <c r="H3260" s="69"/>
      <c r="I3260" s="69"/>
      <c r="J3260" s="69"/>
      <c r="K3260" s="69"/>
      <c r="L3260" s="69"/>
      <c r="M3260" s="69"/>
      <c r="N3260" s="69"/>
      <c r="O3260" s="69"/>
      <c r="P3260" s="69"/>
      <c r="Q3260" s="69"/>
      <c r="R3260" s="69"/>
      <c r="S3260" s="69"/>
      <c r="T3260" s="69"/>
      <c r="U3260" s="69"/>
      <c r="V3260" s="69"/>
      <c r="W3260" s="69"/>
    </row>
    <row r="3261" spans="7:23" x14ac:dyDescent="0.3">
      <c r="G3261" s="69"/>
      <c r="H3261" s="69"/>
      <c r="I3261" s="69"/>
      <c r="J3261" s="69"/>
      <c r="K3261" s="69"/>
      <c r="L3261" s="69"/>
      <c r="M3261" s="69"/>
      <c r="N3261" s="69"/>
      <c r="O3261" s="69"/>
      <c r="P3261" s="69"/>
      <c r="Q3261" s="69"/>
      <c r="R3261" s="69"/>
      <c r="S3261" s="69"/>
      <c r="T3261" s="69"/>
      <c r="U3261" s="69"/>
      <c r="V3261" s="69"/>
      <c r="W3261" s="69"/>
    </row>
    <row r="3262" spans="7:23" x14ac:dyDescent="0.3">
      <c r="G3262" s="69"/>
      <c r="H3262" s="69"/>
      <c r="I3262" s="69"/>
      <c r="J3262" s="69"/>
      <c r="K3262" s="69"/>
      <c r="L3262" s="69"/>
      <c r="M3262" s="69"/>
      <c r="N3262" s="69"/>
      <c r="O3262" s="69"/>
      <c r="P3262" s="69"/>
      <c r="Q3262" s="69"/>
      <c r="R3262" s="69"/>
      <c r="S3262" s="69"/>
      <c r="T3262" s="69"/>
      <c r="U3262" s="69"/>
      <c r="V3262" s="69"/>
      <c r="W3262" s="69"/>
    </row>
    <row r="3263" spans="7:23" x14ac:dyDescent="0.3">
      <c r="G3263" s="69"/>
      <c r="H3263" s="69"/>
      <c r="I3263" s="69"/>
      <c r="J3263" s="69"/>
      <c r="K3263" s="69"/>
      <c r="L3263" s="69"/>
      <c r="M3263" s="69"/>
      <c r="N3263" s="69"/>
      <c r="O3263" s="69"/>
      <c r="P3263" s="69"/>
      <c r="Q3263" s="69"/>
      <c r="R3263" s="69"/>
      <c r="S3263" s="69"/>
      <c r="T3263" s="69"/>
      <c r="U3263" s="69"/>
      <c r="V3263" s="69"/>
      <c r="W3263" s="69"/>
    </row>
    <row r="3264" spans="7:23" x14ac:dyDescent="0.3">
      <c r="G3264" s="69"/>
      <c r="H3264" s="69"/>
      <c r="I3264" s="69"/>
      <c r="J3264" s="69"/>
      <c r="K3264" s="69"/>
      <c r="L3264" s="69"/>
      <c r="M3264" s="69"/>
      <c r="N3264" s="69"/>
      <c r="O3264" s="69"/>
      <c r="P3264" s="69"/>
      <c r="Q3264" s="69"/>
      <c r="R3264" s="69"/>
      <c r="S3264" s="69"/>
      <c r="T3264" s="69"/>
      <c r="U3264" s="69"/>
      <c r="V3264" s="69"/>
      <c r="W3264" s="69"/>
    </row>
    <row r="3265" spans="7:23" x14ac:dyDescent="0.3">
      <c r="G3265" s="69"/>
      <c r="H3265" s="69"/>
      <c r="I3265" s="69"/>
      <c r="J3265" s="69"/>
      <c r="K3265" s="69"/>
      <c r="L3265" s="69"/>
      <c r="M3265" s="69"/>
      <c r="N3265" s="69"/>
      <c r="O3265" s="69"/>
      <c r="P3265" s="69"/>
      <c r="Q3265" s="69"/>
      <c r="R3265" s="69"/>
      <c r="S3265" s="69"/>
      <c r="T3265" s="69"/>
      <c r="U3265" s="69"/>
      <c r="V3265" s="69"/>
      <c r="W3265" s="69"/>
    </row>
    <row r="3266" spans="7:23" x14ac:dyDescent="0.3">
      <c r="G3266" s="69"/>
      <c r="H3266" s="69"/>
      <c r="I3266" s="69"/>
      <c r="J3266" s="69"/>
      <c r="K3266" s="69"/>
      <c r="L3266" s="69"/>
      <c r="M3266" s="69"/>
      <c r="N3266" s="69"/>
      <c r="O3266" s="69"/>
      <c r="P3266" s="69"/>
      <c r="Q3266" s="69"/>
      <c r="R3266" s="69"/>
      <c r="S3266" s="69"/>
      <c r="T3266" s="69"/>
      <c r="U3266" s="69"/>
      <c r="V3266" s="69"/>
      <c r="W3266" s="69"/>
    </row>
    <row r="3267" spans="7:23" x14ac:dyDescent="0.3">
      <c r="G3267" s="69"/>
      <c r="H3267" s="69"/>
      <c r="I3267" s="69"/>
      <c r="J3267" s="69"/>
      <c r="K3267" s="69"/>
      <c r="L3267" s="69"/>
      <c r="M3267" s="69"/>
      <c r="N3267" s="69"/>
      <c r="O3267" s="69"/>
      <c r="P3267" s="69"/>
      <c r="Q3267" s="69"/>
      <c r="R3267" s="69"/>
      <c r="S3267" s="69"/>
      <c r="T3267" s="69"/>
      <c r="U3267" s="69"/>
      <c r="V3267" s="69"/>
      <c r="W3267" s="69"/>
    </row>
    <row r="3268" spans="7:23" x14ac:dyDescent="0.3">
      <c r="G3268" s="69"/>
      <c r="H3268" s="69"/>
      <c r="I3268" s="69"/>
      <c r="J3268" s="69"/>
      <c r="K3268" s="69"/>
      <c r="L3268" s="69"/>
      <c r="M3268" s="69"/>
      <c r="N3268" s="69"/>
      <c r="O3268" s="69"/>
      <c r="P3268" s="69"/>
      <c r="Q3268" s="69"/>
      <c r="R3268" s="69"/>
      <c r="S3268" s="69"/>
      <c r="T3268" s="69"/>
      <c r="U3268" s="69"/>
      <c r="V3268" s="69"/>
      <c r="W3268" s="69"/>
    </row>
    <row r="3269" spans="7:23" x14ac:dyDescent="0.3">
      <c r="G3269" s="69"/>
      <c r="H3269" s="69"/>
      <c r="I3269" s="69"/>
      <c r="J3269" s="69"/>
      <c r="K3269" s="69"/>
      <c r="L3269" s="69"/>
      <c r="M3269" s="69"/>
      <c r="N3269" s="69"/>
      <c r="O3269" s="69"/>
      <c r="P3269" s="69"/>
      <c r="Q3269" s="69"/>
      <c r="R3269" s="69"/>
      <c r="S3269" s="69"/>
      <c r="T3269" s="69"/>
      <c r="U3269" s="69"/>
      <c r="V3269" s="69"/>
      <c r="W3269" s="69"/>
    </row>
    <row r="3270" spans="7:23" x14ac:dyDescent="0.3">
      <c r="G3270" s="69"/>
      <c r="H3270" s="69"/>
      <c r="I3270" s="69"/>
      <c r="J3270" s="69"/>
      <c r="K3270" s="69"/>
      <c r="L3270" s="69"/>
      <c r="M3270" s="69"/>
      <c r="N3270" s="69"/>
      <c r="O3270" s="69"/>
      <c r="P3270" s="69"/>
      <c r="Q3270" s="69"/>
      <c r="R3270" s="69"/>
      <c r="S3270" s="69"/>
      <c r="T3270" s="69"/>
      <c r="U3270" s="69"/>
      <c r="V3270" s="69"/>
      <c r="W3270" s="69"/>
    </row>
    <row r="3271" spans="7:23" x14ac:dyDescent="0.3">
      <c r="G3271" s="69"/>
      <c r="H3271" s="69"/>
      <c r="I3271" s="69"/>
      <c r="J3271" s="69"/>
      <c r="K3271" s="69"/>
      <c r="L3271" s="69"/>
      <c r="M3271" s="69"/>
      <c r="N3271" s="69"/>
      <c r="O3271" s="69"/>
      <c r="P3271" s="69"/>
      <c r="Q3271" s="69"/>
      <c r="R3271" s="69"/>
      <c r="S3271" s="69"/>
      <c r="T3271" s="69"/>
      <c r="U3271" s="69"/>
      <c r="V3271" s="69"/>
      <c r="W3271" s="69"/>
    </row>
    <row r="3272" spans="7:23" x14ac:dyDescent="0.3">
      <c r="G3272" s="69"/>
      <c r="H3272" s="69"/>
      <c r="I3272" s="69"/>
      <c r="J3272" s="69"/>
      <c r="K3272" s="69"/>
      <c r="L3272" s="69"/>
      <c r="M3272" s="69"/>
      <c r="N3272" s="69"/>
      <c r="O3272" s="69"/>
      <c r="P3272" s="69"/>
      <c r="Q3272" s="69"/>
      <c r="R3272" s="69"/>
      <c r="S3272" s="69"/>
      <c r="T3272" s="69"/>
      <c r="U3272" s="69"/>
      <c r="V3272" s="69"/>
      <c r="W3272" s="69"/>
    </row>
    <row r="3273" spans="7:23" x14ac:dyDescent="0.3">
      <c r="G3273" s="69"/>
      <c r="H3273" s="69"/>
      <c r="I3273" s="69"/>
      <c r="J3273" s="69"/>
      <c r="K3273" s="69"/>
      <c r="L3273" s="69"/>
      <c r="M3273" s="69"/>
      <c r="N3273" s="69"/>
      <c r="O3273" s="69"/>
      <c r="P3273" s="69"/>
      <c r="Q3273" s="69"/>
      <c r="R3273" s="69"/>
      <c r="S3273" s="69"/>
      <c r="T3273" s="69"/>
      <c r="U3273" s="69"/>
      <c r="V3273" s="69"/>
      <c r="W3273" s="69"/>
    </row>
    <row r="3274" spans="7:23" x14ac:dyDescent="0.3">
      <c r="G3274" s="69"/>
      <c r="H3274" s="69"/>
      <c r="I3274" s="69"/>
      <c r="J3274" s="69"/>
      <c r="K3274" s="69"/>
      <c r="L3274" s="69"/>
      <c r="M3274" s="69"/>
      <c r="N3274" s="69"/>
      <c r="O3274" s="69"/>
      <c r="P3274" s="69"/>
      <c r="Q3274" s="69"/>
      <c r="R3274" s="69"/>
      <c r="S3274" s="69"/>
      <c r="T3274" s="69"/>
      <c r="U3274" s="69"/>
      <c r="V3274" s="69"/>
      <c r="W3274" s="69"/>
    </row>
    <row r="3275" spans="7:23" x14ac:dyDescent="0.3">
      <c r="G3275" s="69"/>
      <c r="H3275" s="69"/>
      <c r="I3275" s="69"/>
      <c r="J3275" s="69"/>
      <c r="K3275" s="69"/>
      <c r="L3275" s="69"/>
      <c r="M3275" s="69"/>
      <c r="N3275" s="69"/>
      <c r="O3275" s="69"/>
      <c r="P3275" s="69"/>
      <c r="Q3275" s="69"/>
      <c r="R3275" s="69"/>
      <c r="S3275" s="69"/>
      <c r="T3275" s="69"/>
      <c r="U3275" s="69"/>
      <c r="V3275" s="69"/>
      <c r="W3275" s="69"/>
    </row>
    <row r="3276" spans="7:23" x14ac:dyDescent="0.3">
      <c r="G3276" s="69"/>
      <c r="H3276" s="69"/>
      <c r="I3276" s="69"/>
      <c r="J3276" s="69"/>
      <c r="K3276" s="69"/>
      <c r="L3276" s="69"/>
      <c r="M3276" s="69"/>
      <c r="N3276" s="69"/>
      <c r="O3276" s="69"/>
      <c r="P3276" s="69"/>
      <c r="Q3276" s="69"/>
      <c r="R3276" s="69"/>
      <c r="S3276" s="69"/>
      <c r="T3276" s="69"/>
      <c r="U3276" s="69"/>
      <c r="V3276" s="69"/>
      <c r="W3276" s="69"/>
    </row>
    <row r="3277" spans="7:23" x14ac:dyDescent="0.3">
      <c r="G3277" s="69"/>
      <c r="H3277" s="69"/>
      <c r="I3277" s="69"/>
      <c r="J3277" s="69"/>
      <c r="K3277" s="69"/>
      <c r="L3277" s="69"/>
      <c r="M3277" s="69"/>
      <c r="N3277" s="69"/>
      <c r="O3277" s="69"/>
      <c r="P3277" s="69"/>
      <c r="Q3277" s="69"/>
      <c r="R3277" s="69"/>
      <c r="S3277" s="69"/>
      <c r="T3277" s="69"/>
      <c r="U3277" s="69"/>
      <c r="V3277" s="69"/>
      <c r="W3277" s="69"/>
    </row>
    <row r="3278" spans="7:23" x14ac:dyDescent="0.3">
      <c r="G3278" s="69"/>
      <c r="H3278" s="69"/>
      <c r="I3278" s="69"/>
      <c r="J3278" s="69"/>
      <c r="K3278" s="69"/>
      <c r="L3278" s="69"/>
      <c r="M3278" s="69"/>
      <c r="N3278" s="69"/>
      <c r="O3278" s="69"/>
      <c r="P3278" s="69"/>
      <c r="Q3278" s="69"/>
      <c r="R3278" s="69"/>
      <c r="S3278" s="69"/>
      <c r="T3278" s="69"/>
      <c r="U3278" s="69"/>
      <c r="V3278" s="69"/>
      <c r="W3278" s="69"/>
    </row>
    <row r="3279" spans="7:23" x14ac:dyDescent="0.3">
      <c r="G3279" s="69"/>
      <c r="H3279" s="69"/>
      <c r="I3279" s="69"/>
      <c r="J3279" s="69"/>
      <c r="K3279" s="69"/>
      <c r="L3279" s="69"/>
      <c r="M3279" s="69"/>
      <c r="N3279" s="69"/>
      <c r="O3279" s="69"/>
      <c r="P3279" s="69"/>
      <c r="Q3279" s="69"/>
      <c r="R3279" s="69"/>
      <c r="S3279" s="69"/>
      <c r="T3279" s="69"/>
      <c r="U3279" s="69"/>
      <c r="V3279" s="69"/>
      <c r="W3279" s="69"/>
    </row>
    <row r="3280" spans="7:23" x14ac:dyDescent="0.3">
      <c r="G3280" s="69"/>
      <c r="H3280" s="69"/>
      <c r="I3280" s="69"/>
      <c r="J3280" s="69"/>
      <c r="K3280" s="69"/>
      <c r="L3280" s="69"/>
      <c r="M3280" s="69"/>
      <c r="N3280" s="69"/>
      <c r="O3280" s="69"/>
      <c r="P3280" s="69"/>
      <c r="Q3280" s="69"/>
      <c r="R3280" s="69"/>
      <c r="S3280" s="69"/>
      <c r="T3280" s="69"/>
      <c r="U3280" s="69"/>
      <c r="V3280" s="69"/>
      <c r="W3280" s="69"/>
    </row>
    <row r="3281" spans="7:23" x14ac:dyDescent="0.3">
      <c r="G3281" s="69"/>
      <c r="H3281" s="69"/>
      <c r="I3281" s="69"/>
      <c r="J3281" s="69"/>
      <c r="K3281" s="69"/>
      <c r="L3281" s="69"/>
      <c r="M3281" s="69"/>
      <c r="N3281" s="69"/>
      <c r="O3281" s="69"/>
      <c r="P3281" s="69"/>
      <c r="Q3281" s="69"/>
      <c r="R3281" s="69"/>
      <c r="S3281" s="69"/>
      <c r="T3281" s="69"/>
      <c r="U3281" s="69"/>
      <c r="V3281" s="69"/>
      <c r="W3281" s="69"/>
    </row>
    <row r="3282" spans="7:23" x14ac:dyDescent="0.3">
      <c r="G3282" s="69"/>
      <c r="H3282" s="69"/>
      <c r="I3282" s="69"/>
      <c r="J3282" s="69"/>
      <c r="K3282" s="69"/>
      <c r="L3282" s="69"/>
      <c r="M3282" s="69"/>
      <c r="N3282" s="69"/>
      <c r="O3282" s="69"/>
      <c r="P3282" s="69"/>
      <c r="Q3282" s="69"/>
      <c r="R3282" s="69"/>
      <c r="S3282" s="69"/>
      <c r="T3282" s="69"/>
      <c r="U3282" s="69"/>
      <c r="V3282" s="69"/>
      <c r="W3282" s="69"/>
    </row>
    <row r="3283" spans="7:23" x14ac:dyDescent="0.3">
      <c r="G3283" s="69"/>
      <c r="H3283" s="69"/>
      <c r="I3283" s="69"/>
      <c r="J3283" s="69"/>
      <c r="K3283" s="69"/>
      <c r="L3283" s="69"/>
      <c r="M3283" s="69"/>
      <c r="N3283" s="69"/>
      <c r="O3283" s="69"/>
      <c r="P3283" s="69"/>
      <c r="Q3283" s="69"/>
      <c r="R3283" s="69"/>
      <c r="S3283" s="69"/>
      <c r="T3283" s="69"/>
      <c r="U3283" s="69"/>
      <c r="V3283" s="69"/>
      <c r="W3283" s="69"/>
    </row>
    <row r="3284" spans="7:23" x14ac:dyDescent="0.3">
      <c r="G3284" s="69"/>
      <c r="H3284" s="69"/>
      <c r="I3284" s="69"/>
      <c r="J3284" s="69"/>
      <c r="K3284" s="69"/>
      <c r="L3284" s="69"/>
      <c r="M3284" s="69"/>
      <c r="N3284" s="69"/>
      <c r="O3284" s="69"/>
      <c r="P3284" s="69"/>
      <c r="Q3284" s="69"/>
      <c r="R3284" s="69"/>
      <c r="S3284" s="69"/>
      <c r="T3284" s="69"/>
      <c r="U3284" s="69"/>
      <c r="V3284" s="69"/>
      <c r="W3284" s="69"/>
    </row>
    <row r="3285" spans="7:23" x14ac:dyDescent="0.3">
      <c r="G3285" s="69"/>
      <c r="H3285" s="69"/>
      <c r="I3285" s="69"/>
      <c r="J3285" s="69"/>
      <c r="K3285" s="69"/>
      <c r="L3285" s="69"/>
      <c r="M3285" s="69"/>
      <c r="N3285" s="69"/>
      <c r="O3285" s="69"/>
      <c r="P3285" s="69"/>
      <c r="Q3285" s="69"/>
      <c r="R3285" s="69"/>
      <c r="S3285" s="69"/>
      <c r="T3285" s="69"/>
      <c r="U3285" s="69"/>
      <c r="V3285" s="69"/>
      <c r="W3285" s="69"/>
    </row>
    <row r="3286" spans="7:23" x14ac:dyDescent="0.3">
      <c r="G3286" s="69"/>
      <c r="H3286" s="69"/>
      <c r="I3286" s="69"/>
      <c r="J3286" s="69"/>
      <c r="K3286" s="69"/>
      <c r="L3286" s="69"/>
      <c r="M3286" s="69"/>
      <c r="N3286" s="69"/>
      <c r="O3286" s="69"/>
      <c r="P3286" s="69"/>
      <c r="Q3286" s="69"/>
      <c r="R3286" s="69"/>
      <c r="S3286" s="69"/>
      <c r="T3286" s="69"/>
      <c r="U3286" s="69"/>
      <c r="V3286" s="69"/>
      <c r="W3286" s="69"/>
    </row>
    <row r="3287" spans="7:23" x14ac:dyDescent="0.3">
      <c r="G3287" s="69"/>
      <c r="H3287" s="69"/>
      <c r="I3287" s="69"/>
      <c r="J3287" s="69"/>
      <c r="K3287" s="69"/>
      <c r="L3287" s="69"/>
      <c r="M3287" s="69"/>
      <c r="N3287" s="69"/>
      <c r="O3287" s="69"/>
      <c r="P3287" s="69"/>
      <c r="Q3287" s="69"/>
      <c r="R3287" s="69"/>
      <c r="S3287" s="69"/>
      <c r="T3287" s="69"/>
      <c r="U3287" s="69"/>
      <c r="V3287" s="69"/>
      <c r="W3287" s="69"/>
    </row>
    <row r="3288" spans="7:23" x14ac:dyDescent="0.3">
      <c r="G3288" s="69"/>
      <c r="H3288" s="69"/>
      <c r="I3288" s="69"/>
      <c r="J3288" s="69"/>
      <c r="K3288" s="69"/>
      <c r="L3288" s="69"/>
      <c r="M3288" s="69"/>
      <c r="N3288" s="69"/>
      <c r="O3288" s="69"/>
      <c r="P3288" s="69"/>
      <c r="Q3288" s="69"/>
      <c r="R3288" s="69"/>
      <c r="S3288" s="69"/>
      <c r="T3288" s="69"/>
      <c r="U3288" s="69"/>
      <c r="V3288" s="69"/>
      <c r="W3288" s="69"/>
    </row>
    <row r="3289" spans="7:23" x14ac:dyDescent="0.3">
      <c r="G3289" s="69"/>
      <c r="H3289" s="69"/>
      <c r="I3289" s="69"/>
      <c r="J3289" s="69"/>
      <c r="K3289" s="69"/>
      <c r="L3289" s="69"/>
      <c r="M3289" s="69"/>
      <c r="N3289" s="69"/>
      <c r="O3289" s="69"/>
      <c r="P3289" s="69"/>
      <c r="Q3289" s="69"/>
      <c r="R3289" s="69"/>
      <c r="S3289" s="69"/>
      <c r="T3289" s="69"/>
      <c r="U3289" s="69"/>
      <c r="V3289" s="69"/>
      <c r="W3289" s="69"/>
    </row>
    <row r="3290" spans="7:23" x14ac:dyDescent="0.3">
      <c r="G3290" s="69"/>
      <c r="H3290" s="69"/>
      <c r="I3290" s="69"/>
      <c r="J3290" s="69"/>
      <c r="K3290" s="69"/>
      <c r="L3290" s="69"/>
      <c r="M3290" s="69"/>
      <c r="N3290" s="69"/>
      <c r="O3290" s="69"/>
      <c r="P3290" s="69"/>
      <c r="Q3290" s="69"/>
      <c r="R3290" s="69"/>
      <c r="S3290" s="69"/>
      <c r="T3290" s="69"/>
      <c r="U3290" s="69"/>
      <c r="V3290" s="69"/>
      <c r="W3290" s="69"/>
    </row>
    <row r="3291" spans="7:23" x14ac:dyDescent="0.3">
      <c r="G3291" s="69"/>
      <c r="H3291" s="69"/>
      <c r="I3291" s="69"/>
      <c r="J3291" s="69"/>
      <c r="K3291" s="69"/>
      <c r="L3291" s="69"/>
      <c r="M3291" s="69"/>
      <c r="N3291" s="69"/>
      <c r="O3291" s="69"/>
      <c r="P3291" s="69"/>
      <c r="Q3291" s="69"/>
      <c r="R3291" s="69"/>
      <c r="S3291" s="69"/>
      <c r="T3291" s="69"/>
      <c r="U3291" s="69"/>
      <c r="V3291" s="69"/>
      <c r="W3291" s="69"/>
    </row>
    <row r="3292" spans="7:23" x14ac:dyDescent="0.3">
      <c r="G3292" s="69"/>
      <c r="H3292" s="69"/>
      <c r="I3292" s="69"/>
      <c r="J3292" s="69"/>
      <c r="K3292" s="69"/>
      <c r="L3292" s="69"/>
      <c r="M3292" s="69"/>
      <c r="N3292" s="69"/>
      <c r="O3292" s="69"/>
      <c r="P3292" s="69"/>
      <c r="Q3292" s="69"/>
      <c r="R3292" s="69"/>
      <c r="S3292" s="69"/>
      <c r="T3292" s="69"/>
      <c r="U3292" s="69"/>
      <c r="V3292" s="69"/>
      <c r="W3292" s="69"/>
    </row>
    <row r="3293" spans="7:23" x14ac:dyDescent="0.3">
      <c r="G3293" s="69"/>
      <c r="H3293" s="69"/>
      <c r="I3293" s="69"/>
      <c r="J3293" s="69"/>
      <c r="K3293" s="69"/>
      <c r="L3293" s="69"/>
      <c r="M3293" s="69"/>
      <c r="N3293" s="69"/>
      <c r="O3293" s="69"/>
      <c r="P3293" s="69"/>
      <c r="Q3293" s="69"/>
      <c r="R3293" s="69"/>
      <c r="S3293" s="69"/>
      <c r="T3293" s="69"/>
      <c r="U3293" s="69"/>
      <c r="V3293" s="69"/>
      <c r="W3293" s="69"/>
    </row>
    <row r="3294" spans="7:23" x14ac:dyDescent="0.3">
      <c r="G3294" s="69"/>
      <c r="H3294" s="69"/>
      <c r="I3294" s="69"/>
      <c r="J3294" s="69"/>
      <c r="K3294" s="69"/>
      <c r="L3294" s="69"/>
      <c r="M3294" s="69"/>
      <c r="N3294" s="69"/>
      <c r="O3294" s="69"/>
      <c r="P3294" s="69"/>
      <c r="Q3294" s="69"/>
      <c r="R3294" s="69"/>
      <c r="S3294" s="69"/>
      <c r="T3294" s="69"/>
      <c r="U3294" s="69"/>
      <c r="V3294" s="69"/>
      <c r="W3294" s="69"/>
    </row>
    <row r="3295" spans="7:23" x14ac:dyDescent="0.3">
      <c r="G3295" s="69"/>
      <c r="H3295" s="69"/>
      <c r="I3295" s="69"/>
      <c r="J3295" s="69"/>
      <c r="K3295" s="69"/>
      <c r="L3295" s="69"/>
      <c r="M3295" s="69"/>
      <c r="N3295" s="69"/>
      <c r="O3295" s="69"/>
      <c r="P3295" s="69"/>
      <c r="Q3295" s="69"/>
      <c r="R3295" s="69"/>
      <c r="S3295" s="69"/>
      <c r="T3295" s="69"/>
      <c r="U3295" s="69"/>
      <c r="V3295" s="69"/>
      <c r="W3295" s="69"/>
    </row>
    <row r="3296" spans="7:23" x14ac:dyDescent="0.3">
      <c r="G3296" s="69"/>
      <c r="H3296" s="69"/>
      <c r="I3296" s="69"/>
      <c r="J3296" s="69"/>
      <c r="K3296" s="69"/>
      <c r="L3296" s="69"/>
      <c r="M3296" s="69"/>
      <c r="N3296" s="69"/>
      <c r="O3296" s="69"/>
      <c r="P3296" s="69"/>
      <c r="Q3296" s="69"/>
      <c r="R3296" s="69"/>
      <c r="S3296" s="69"/>
      <c r="T3296" s="69"/>
      <c r="U3296" s="69"/>
      <c r="V3296" s="69"/>
      <c r="W3296" s="69"/>
    </row>
    <row r="3297" spans="7:23" x14ac:dyDescent="0.3">
      <c r="G3297" s="69"/>
      <c r="H3297" s="69"/>
      <c r="I3297" s="69"/>
      <c r="J3297" s="69"/>
      <c r="K3297" s="69"/>
      <c r="L3297" s="69"/>
      <c r="M3297" s="69"/>
      <c r="N3297" s="69"/>
      <c r="O3297" s="69"/>
      <c r="P3297" s="69"/>
      <c r="Q3297" s="69"/>
      <c r="R3297" s="69"/>
      <c r="S3297" s="69"/>
      <c r="T3297" s="69"/>
      <c r="U3297" s="69"/>
      <c r="V3297" s="69"/>
      <c r="W3297" s="69"/>
    </row>
    <row r="3298" spans="7:23" x14ac:dyDescent="0.3">
      <c r="G3298" s="69"/>
      <c r="H3298" s="69"/>
      <c r="I3298" s="69"/>
      <c r="J3298" s="69"/>
      <c r="K3298" s="69"/>
      <c r="L3298" s="69"/>
      <c r="M3298" s="69"/>
      <c r="N3298" s="69"/>
      <c r="O3298" s="69"/>
      <c r="P3298" s="69"/>
      <c r="Q3298" s="69"/>
      <c r="R3298" s="69"/>
      <c r="S3298" s="69"/>
      <c r="T3298" s="69"/>
      <c r="U3298" s="69"/>
      <c r="V3298" s="69"/>
      <c r="W3298" s="69"/>
    </row>
    <row r="3299" spans="7:23" x14ac:dyDescent="0.3">
      <c r="G3299" s="69"/>
      <c r="H3299" s="69"/>
      <c r="I3299" s="69"/>
      <c r="J3299" s="69"/>
      <c r="K3299" s="69"/>
      <c r="L3299" s="69"/>
      <c r="M3299" s="69"/>
      <c r="N3299" s="69"/>
      <c r="O3299" s="69"/>
      <c r="P3299" s="69"/>
      <c r="Q3299" s="69"/>
      <c r="R3299" s="69"/>
      <c r="S3299" s="69"/>
      <c r="T3299" s="69"/>
      <c r="U3299" s="69"/>
      <c r="V3299" s="69"/>
      <c r="W3299" s="69"/>
    </row>
    <row r="3300" spans="7:23" x14ac:dyDescent="0.3">
      <c r="G3300" s="69"/>
      <c r="H3300" s="69"/>
      <c r="I3300" s="69"/>
      <c r="J3300" s="69"/>
      <c r="K3300" s="69"/>
      <c r="L3300" s="69"/>
      <c r="M3300" s="69"/>
      <c r="N3300" s="69"/>
      <c r="O3300" s="69"/>
      <c r="P3300" s="69"/>
      <c r="Q3300" s="69"/>
      <c r="R3300" s="69"/>
      <c r="S3300" s="69"/>
      <c r="T3300" s="69"/>
      <c r="U3300" s="69"/>
      <c r="V3300" s="69"/>
      <c r="W3300" s="69"/>
    </row>
    <row r="3301" spans="7:23" x14ac:dyDescent="0.3">
      <c r="G3301" s="69"/>
      <c r="H3301" s="69"/>
      <c r="I3301" s="69"/>
      <c r="J3301" s="69"/>
      <c r="K3301" s="69"/>
      <c r="L3301" s="69"/>
      <c r="M3301" s="69"/>
      <c r="N3301" s="69"/>
      <c r="O3301" s="69"/>
      <c r="P3301" s="69"/>
      <c r="Q3301" s="69"/>
      <c r="R3301" s="69"/>
      <c r="S3301" s="69"/>
      <c r="T3301" s="69"/>
      <c r="U3301" s="69"/>
      <c r="V3301" s="69"/>
      <c r="W3301" s="69"/>
    </row>
    <row r="3302" spans="7:23" x14ac:dyDescent="0.3">
      <c r="G3302" s="69"/>
      <c r="H3302" s="69"/>
      <c r="I3302" s="69"/>
      <c r="J3302" s="69"/>
      <c r="K3302" s="69"/>
      <c r="L3302" s="69"/>
      <c r="M3302" s="69"/>
      <c r="N3302" s="69"/>
      <c r="O3302" s="69"/>
      <c r="P3302" s="69"/>
      <c r="Q3302" s="69"/>
      <c r="R3302" s="69"/>
      <c r="S3302" s="69"/>
      <c r="T3302" s="69"/>
      <c r="U3302" s="69"/>
      <c r="V3302" s="69"/>
      <c r="W3302" s="69"/>
    </row>
    <row r="3303" spans="7:23" x14ac:dyDescent="0.3">
      <c r="G3303" s="69"/>
      <c r="H3303" s="69"/>
      <c r="I3303" s="69"/>
      <c r="J3303" s="69"/>
      <c r="K3303" s="69"/>
      <c r="L3303" s="69"/>
      <c r="M3303" s="69"/>
      <c r="N3303" s="69"/>
      <c r="O3303" s="69"/>
      <c r="P3303" s="69"/>
      <c r="Q3303" s="69"/>
      <c r="R3303" s="69"/>
      <c r="S3303" s="69"/>
      <c r="T3303" s="69"/>
      <c r="U3303" s="69"/>
      <c r="V3303" s="69"/>
      <c r="W3303" s="69"/>
    </row>
    <row r="3304" spans="7:23" x14ac:dyDescent="0.3">
      <c r="G3304" s="69"/>
      <c r="H3304" s="69"/>
      <c r="I3304" s="69"/>
      <c r="J3304" s="69"/>
      <c r="K3304" s="69"/>
      <c r="L3304" s="69"/>
      <c r="M3304" s="69"/>
      <c r="N3304" s="69"/>
      <c r="O3304" s="69"/>
      <c r="P3304" s="69"/>
      <c r="Q3304" s="69"/>
      <c r="R3304" s="69"/>
      <c r="S3304" s="69"/>
      <c r="T3304" s="69"/>
      <c r="U3304" s="69"/>
      <c r="V3304" s="69"/>
      <c r="W3304" s="69"/>
    </row>
    <row r="3305" spans="7:23" x14ac:dyDescent="0.3">
      <c r="G3305" s="69"/>
      <c r="H3305" s="69"/>
      <c r="I3305" s="69"/>
      <c r="J3305" s="69"/>
      <c r="K3305" s="69"/>
      <c r="L3305" s="69"/>
      <c r="M3305" s="69"/>
      <c r="N3305" s="69"/>
      <c r="O3305" s="69"/>
      <c r="P3305" s="69"/>
      <c r="Q3305" s="69"/>
      <c r="R3305" s="69"/>
      <c r="S3305" s="69"/>
      <c r="T3305" s="69"/>
      <c r="U3305" s="69"/>
      <c r="V3305" s="69"/>
      <c r="W3305" s="69"/>
    </row>
    <row r="3306" spans="7:23" x14ac:dyDescent="0.3">
      <c r="G3306" s="69"/>
      <c r="H3306" s="69"/>
      <c r="I3306" s="69"/>
      <c r="J3306" s="69"/>
      <c r="K3306" s="69"/>
      <c r="L3306" s="69"/>
      <c r="M3306" s="69"/>
      <c r="N3306" s="69"/>
      <c r="O3306" s="69"/>
      <c r="P3306" s="69"/>
      <c r="Q3306" s="69"/>
      <c r="R3306" s="69"/>
      <c r="S3306" s="69"/>
      <c r="T3306" s="69"/>
      <c r="U3306" s="69"/>
      <c r="V3306" s="69"/>
      <c r="W3306" s="69"/>
    </row>
    <row r="3307" spans="7:23" x14ac:dyDescent="0.3">
      <c r="G3307" s="69"/>
      <c r="H3307" s="69"/>
      <c r="I3307" s="69"/>
      <c r="J3307" s="69"/>
      <c r="K3307" s="69"/>
      <c r="L3307" s="69"/>
      <c r="M3307" s="69"/>
      <c r="N3307" s="69"/>
      <c r="O3307" s="69"/>
      <c r="P3307" s="69"/>
      <c r="Q3307" s="69"/>
      <c r="R3307" s="69"/>
      <c r="S3307" s="69"/>
      <c r="T3307" s="69"/>
      <c r="U3307" s="69"/>
      <c r="V3307" s="69"/>
      <c r="W3307" s="69"/>
    </row>
    <row r="3308" spans="7:23" x14ac:dyDescent="0.3">
      <c r="G3308" s="69"/>
      <c r="H3308" s="69"/>
      <c r="I3308" s="69"/>
      <c r="J3308" s="69"/>
      <c r="K3308" s="69"/>
      <c r="L3308" s="69"/>
      <c r="M3308" s="69"/>
      <c r="N3308" s="69"/>
      <c r="O3308" s="69"/>
      <c r="P3308" s="69"/>
      <c r="Q3308" s="69"/>
      <c r="R3308" s="69"/>
      <c r="S3308" s="69"/>
      <c r="T3308" s="69"/>
      <c r="U3308" s="69"/>
      <c r="V3308" s="69"/>
      <c r="W3308" s="69"/>
    </row>
    <row r="3309" spans="7:23" x14ac:dyDescent="0.3">
      <c r="G3309" s="69"/>
      <c r="H3309" s="69"/>
      <c r="I3309" s="69"/>
      <c r="J3309" s="69"/>
      <c r="K3309" s="69"/>
      <c r="L3309" s="69"/>
      <c r="M3309" s="69"/>
      <c r="N3309" s="69"/>
      <c r="O3309" s="69"/>
      <c r="P3309" s="69"/>
      <c r="Q3309" s="69"/>
      <c r="R3309" s="69"/>
      <c r="S3309" s="69"/>
      <c r="T3309" s="69"/>
      <c r="U3309" s="69"/>
      <c r="V3309" s="69"/>
      <c r="W3309" s="69"/>
    </row>
    <row r="3310" spans="7:23" x14ac:dyDescent="0.3">
      <c r="G3310" s="69"/>
      <c r="H3310" s="69"/>
      <c r="I3310" s="69"/>
      <c r="J3310" s="69"/>
      <c r="K3310" s="69"/>
      <c r="L3310" s="69"/>
      <c r="M3310" s="69"/>
      <c r="N3310" s="69"/>
      <c r="O3310" s="69"/>
      <c r="P3310" s="69"/>
      <c r="Q3310" s="69"/>
      <c r="R3310" s="69"/>
      <c r="S3310" s="69"/>
      <c r="T3310" s="69"/>
      <c r="U3310" s="69"/>
      <c r="V3310" s="69"/>
      <c r="W3310" s="69"/>
    </row>
    <row r="3311" spans="7:23" x14ac:dyDescent="0.3">
      <c r="G3311" s="69"/>
      <c r="H3311" s="69"/>
      <c r="I3311" s="69"/>
      <c r="J3311" s="69"/>
      <c r="K3311" s="69"/>
      <c r="L3311" s="69"/>
      <c r="M3311" s="69"/>
      <c r="N3311" s="69"/>
      <c r="O3311" s="69"/>
      <c r="P3311" s="69"/>
      <c r="Q3311" s="69"/>
      <c r="R3311" s="69"/>
      <c r="S3311" s="69"/>
      <c r="T3311" s="69"/>
      <c r="U3311" s="69"/>
      <c r="V3311" s="69"/>
      <c r="W3311" s="69"/>
    </row>
    <row r="3312" spans="7:23" x14ac:dyDescent="0.3">
      <c r="G3312" s="69"/>
      <c r="H3312" s="69"/>
      <c r="I3312" s="69"/>
      <c r="J3312" s="69"/>
      <c r="K3312" s="69"/>
      <c r="L3312" s="69"/>
      <c r="M3312" s="69"/>
      <c r="N3312" s="69"/>
      <c r="O3312" s="69"/>
      <c r="P3312" s="69"/>
      <c r="Q3312" s="69"/>
      <c r="R3312" s="69"/>
      <c r="S3312" s="69"/>
      <c r="T3312" s="69"/>
      <c r="U3312" s="69"/>
      <c r="V3312" s="69"/>
      <c r="W3312" s="69"/>
    </row>
    <row r="3313" spans="7:23" x14ac:dyDescent="0.3">
      <c r="G3313" s="69"/>
      <c r="H3313" s="69"/>
      <c r="I3313" s="69"/>
      <c r="J3313" s="69"/>
      <c r="K3313" s="69"/>
      <c r="L3313" s="69"/>
      <c r="M3313" s="69"/>
      <c r="N3313" s="69"/>
      <c r="O3313" s="69"/>
      <c r="P3313" s="69"/>
      <c r="Q3313" s="69"/>
      <c r="R3313" s="69"/>
      <c r="S3313" s="69"/>
      <c r="T3313" s="69"/>
      <c r="U3313" s="69"/>
      <c r="V3313" s="69"/>
      <c r="W3313" s="69"/>
    </row>
    <row r="3314" spans="7:23" x14ac:dyDescent="0.3">
      <c r="G3314" s="69"/>
      <c r="H3314" s="69"/>
      <c r="I3314" s="69"/>
      <c r="J3314" s="69"/>
      <c r="K3314" s="69"/>
      <c r="L3314" s="69"/>
      <c r="M3314" s="69"/>
      <c r="N3314" s="69"/>
      <c r="O3314" s="69"/>
      <c r="P3314" s="69"/>
      <c r="Q3314" s="69"/>
      <c r="R3314" s="69"/>
      <c r="S3314" s="69"/>
      <c r="T3314" s="69"/>
      <c r="U3314" s="69"/>
      <c r="V3314" s="69"/>
      <c r="W3314" s="69"/>
    </row>
    <row r="3315" spans="7:23" x14ac:dyDescent="0.3">
      <c r="G3315" s="69"/>
      <c r="H3315" s="69"/>
      <c r="I3315" s="69"/>
      <c r="J3315" s="69"/>
      <c r="K3315" s="69"/>
      <c r="L3315" s="69"/>
      <c r="M3315" s="69"/>
      <c r="N3315" s="69"/>
      <c r="O3315" s="69"/>
      <c r="P3315" s="69"/>
      <c r="Q3315" s="69"/>
      <c r="R3315" s="69"/>
      <c r="S3315" s="69"/>
      <c r="T3315" s="69"/>
      <c r="U3315" s="69"/>
      <c r="V3315" s="69"/>
      <c r="W3315" s="69"/>
    </row>
    <row r="3316" spans="7:23" x14ac:dyDescent="0.3">
      <c r="G3316" s="69"/>
      <c r="H3316" s="69"/>
      <c r="I3316" s="69"/>
      <c r="J3316" s="69"/>
      <c r="K3316" s="69"/>
      <c r="L3316" s="69"/>
      <c r="M3316" s="69"/>
      <c r="N3316" s="69"/>
      <c r="O3316" s="69"/>
      <c r="P3316" s="69"/>
      <c r="Q3316" s="69"/>
      <c r="R3316" s="69"/>
      <c r="S3316" s="69"/>
      <c r="T3316" s="69"/>
      <c r="U3316" s="69"/>
      <c r="V3316" s="69"/>
      <c r="W3316" s="69"/>
    </row>
    <row r="3317" spans="7:23" x14ac:dyDescent="0.3">
      <c r="G3317" s="69"/>
      <c r="H3317" s="69"/>
      <c r="I3317" s="69"/>
      <c r="J3317" s="69"/>
      <c r="K3317" s="69"/>
      <c r="L3317" s="69"/>
      <c r="M3317" s="69"/>
      <c r="N3317" s="69"/>
      <c r="O3317" s="69"/>
      <c r="P3317" s="69"/>
      <c r="Q3317" s="69"/>
      <c r="R3317" s="69"/>
      <c r="S3317" s="69"/>
      <c r="T3317" s="69"/>
      <c r="U3317" s="69"/>
      <c r="V3317" s="69"/>
      <c r="W3317" s="69"/>
    </row>
    <row r="3318" spans="7:23" x14ac:dyDescent="0.3">
      <c r="G3318" s="69"/>
      <c r="H3318" s="69"/>
      <c r="I3318" s="69"/>
      <c r="J3318" s="69"/>
      <c r="K3318" s="69"/>
      <c r="L3318" s="69"/>
      <c r="M3318" s="69"/>
      <c r="N3318" s="69"/>
      <c r="O3318" s="69"/>
      <c r="P3318" s="69"/>
      <c r="Q3318" s="69"/>
      <c r="R3318" s="69"/>
      <c r="S3318" s="69"/>
      <c r="T3318" s="69"/>
      <c r="U3318" s="69"/>
      <c r="V3318" s="69"/>
      <c r="W3318" s="69"/>
    </row>
    <row r="3319" spans="7:23" x14ac:dyDescent="0.3">
      <c r="G3319" s="69"/>
      <c r="H3319" s="69"/>
      <c r="I3319" s="69"/>
      <c r="J3319" s="69"/>
      <c r="K3319" s="69"/>
      <c r="L3319" s="69"/>
      <c r="M3319" s="69"/>
      <c r="N3319" s="69"/>
      <c r="O3319" s="69"/>
      <c r="P3319" s="69"/>
      <c r="Q3319" s="69"/>
      <c r="R3319" s="69"/>
      <c r="S3319" s="69"/>
      <c r="T3319" s="69"/>
      <c r="U3319" s="69"/>
      <c r="V3319" s="69"/>
      <c r="W3319" s="69"/>
    </row>
    <row r="3320" spans="7:23" x14ac:dyDescent="0.3">
      <c r="G3320" s="69"/>
      <c r="H3320" s="69"/>
      <c r="I3320" s="69"/>
      <c r="J3320" s="69"/>
      <c r="K3320" s="69"/>
      <c r="L3320" s="69"/>
      <c r="M3320" s="69"/>
      <c r="N3320" s="69"/>
      <c r="O3320" s="69"/>
      <c r="P3320" s="69"/>
      <c r="Q3320" s="69"/>
      <c r="R3320" s="69"/>
      <c r="S3320" s="69"/>
      <c r="T3320" s="69"/>
      <c r="U3320" s="69"/>
      <c r="V3320" s="69"/>
      <c r="W3320" s="69"/>
    </row>
    <row r="3321" spans="7:23" x14ac:dyDescent="0.3">
      <c r="G3321" s="69"/>
      <c r="H3321" s="69"/>
      <c r="I3321" s="69"/>
      <c r="J3321" s="69"/>
      <c r="K3321" s="69"/>
      <c r="L3321" s="69"/>
      <c r="M3321" s="69"/>
      <c r="N3321" s="69"/>
      <c r="O3321" s="69"/>
      <c r="P3321" s="69"/>
      <c r="Q3321" s="69"/>
      <c r="R3321" s="69"/>
      <c r="S3321" s="69"/>
      <c r="T3321" s="69"/>
      <c r="U3321" s="69"/>
      <c r="V3321" s="69"/>
      <c r="W3321" s="69"/>
    </row>
    <row r="3322" spans="7:23" x14ac:dyDescent="0.3">
      <c r="G3322" s="69"/>
      <c r="H3322" s="69"/>
      <c r="I3322" s="69"/>
      <c r="J3322" s="69"/>
      <c r="K3322" s="69"/>
      <c r="L3322" s="69"/>
      <c r="M3322" s="69"/>
      <c r="N3322" s="69"/>
      <c r="O3322" s="69"/>
      <c r="P3322" s="69"/>
      <c r="Q3322" s="69"/>
      <c r="R3322" s="69"/>
      <c r="S3322" s="69"/>
      <c r="T3322" s="69"/>
      <c r="U3322" s="69"/>
      <c r="V3322" s="69"/>
      <c r="W3322" s="69"/>
    </row>
    <row r="3323" spans="7:23" x14ac:dyDescent="0.3">
      <c r="G3323" s="69"/>
      <c r="H3323" s="69"/>
      <c r="I3323" s="69"/>
      <c r="J3323" s="69"/>
      <c r="K3323" s="69"/>
      <c r="L3323" s="69"/>
      <c r="M3323" s="69"/>
      <c r="N3323" s="69"/>
      <c r="O3323" s="69"/>
      <c r="P3323" s="69"/>
      <c r="Q3323" s="69"/>
      <c r="R3323" s="69"/>
      <c r="S3323" s="69"/>
      <c r="T3323" s="69"/>
      <c r="U3323" s="69"/>
      <c r="V3323" s="69"/>
      <c r="W3323" s="69"/>
    </row>
    <row r="3324" spans="7:23" x14ac:dyDescent="0.3">
      <c r="G3324" s="69"/>
      <c r="H3324" s="69"/>
      <c r="I3324" s="69"/>
      <c r="J3324" s="69"/>
      <c r="K3324" s="69"/>
      <c r="L3324" s="69"/>
      <c r="M3324" s="69"/>
      <c r="N3324" s="69"/>
      <c r="O3324" s="69"/>
      <c r="P3324" s="69"/>
      <c r="Q3324" s="69"/>
      <c r="R3324" s="69"/>
      <c r="S3324" s="69"/>
      <c r="T3324" s="69"/>
      <c r="U3324" s="69"/>
      <c r="V3324" s="69"/>
      <c r="W3324" s="69"/>
    </row>
    <row r="3325" spans="7:23" x14ac:dyDescent="0.3">
      <c r="G3325" s="69"/>
      <c r="H3325" s="69"/>
      <c r="I3325" s="69"/>
      <c r="J3325" s="69"/>
      <c r="K3325" s="69"/>
      <c r="L3325" s="69"/>
      <c r="M3325" s="69"/>
      <c r="N3325" s="69"/>
      <c r="O3325" s="69"/>
      <c r="P3325" s="69"/>
      <c r="Q3325" s="69"/>
      <c r="R3325" s="69"/>
      <c r="S3325" s="69"/>
      <c r="T3325" s="69"/>
      <c r="U3325" s="69"/>
      <c r="V3325" s="69"/>
      <c r="W3325" s="69"/>
    </row>
    <row r="3326" spans="7:23" x14ac:dyDescent="0.3">
      <c r="G3326" s="69"/>
      <c r="H3326" s="69"/>
      <c r="I3326" s="69"/>
      <c r="J3326" s="69"/>
      <c r="K3326" s="69"/>
      <c r="L3326" s="69"/>
      <c r="M3326" s="69"/>
      <c r="N3326" s="69"/>
      <c r="O3326" s="69"/>
      <c r="P3326" s="69"/>
      <c r="Q3326" s="69"/>
      <c r="R3326" s="69"/>
      <c r="S3326" s="69"/>
      <c r="T3326" s="69"/>
      <c r="U3326" s="69"/>
      <c r="V3326" s="69"/>
      <c r="W3326" s="69"/>
    </row>
    <row r="3327" spans="7:23" x14ac:dyDescent="0.3">
      <c r="G3327" s="69"/>
      <c r="H3327" s="69"/>
      <c r="I3327" s="69"/>
      <c r="J3327" s="69"/>
      <c r="K3327" s="69"/>
      <c r="L3327" s="69"/>
      <c r="M3327" s="69"/>
      <c r="N3327" s="69"/>
      <c r="O3327" s="69"/>
      <c r="P3327" s="69"/>
      <c r="Q3327" s="69"/>
      <c r="R3327" s="69"/>
      <c r="S3327" s="69"/>
      <c r="T3327" s="69"/>
      <c r="U3327" s="69"/>
      <c r="V3327" s="69"/>
      <c r="W3327" s="69"/>
    </row>
    <row r="3328" spans="7:23" x14ac:dyDescent="0.3">
      <c r="G3328" s="69"/>
      <c r="H3328" s="69"/>
      <c r="I3328" s="69"/>
      <c r="J3328" s="69"/>
      <c r="K3328" s="69"/>
      <c r="L3328" s="69"/>
      <c r="M3328" s="69"/>
      <c r="N3328" s="69"/>
      <c r="O3328" s="69"/>
      <c r="P3328" s="69"/>
      <c r="Q3328" s="69"/>
      <c r="R3328" s="69"/>
      <c r="S3328" s="69"/>
      <c r="T3328" s="69"/>
      <c r="U3328" s="69"/>
      <c r="V3328" s="69"/>
      <c r="W3328" s="69"/>
    </row>
    <row r="3329" spans="7:23" x14ac:dyDescent="0.3">
      <c r="G3329" s="69"/>
      <c r="H3329" s="69"/>
      <c r="I3329" s="69"/>
      <c r="J3329" s="69"/>
      <c r="K3329" s="69"/>
      <c r="L3329" s="69"/>
      <c r="M3329" s="69"/>
      <c r="N3329" s="69"/>
      <c r="O3329" s="69"/>
      <c r="P3329" s="69"/>
      <c r="Q3329" s="69"/>
      <c r="R3329" s="69"/>
      <c r="S3329" s="69"/>
      <c r="T3329" s="69"/>
      <c r="U3329" s="69"/>
      <c r="V3329" s="69"/>
      <c r="W3329" s="69"/>
    </row>
    <row r="3330" spans="7:23" x14ac:dyDescent="0.3">
      <c r="G3330" s="69"/>
      <c r="H3330" s="69"/>
      <c r="I3330" s="69"/>
      <c r="J3330" s="69"/>
      <c r="K3330" s="69"/>
      <c r="L3330" s="69"/>
      <c r="M3330" s="69"/>
      <c r="N3330" s="69"/>
      <c r="O3330" s="69"/>
      <c r="P3330" s="69"/>
      <c r="Q3330" s="69"/>
      <c r="R3330" s="69"/>
      <c r="S3330" s="69"/>
      <c r="T3330" s="69"/>
      <c r="U3330" s="69"/>
      <c r="V3330" s="69"/>
      <c r="W3330" s="69"/>
    </row>
    <row r="3331" spans="7:23" x14ac:dyDescent="0.3">
      <c r="G3331" s="69"/>
      <c r="H3331" s="69"/>
      <c r="I3331" s="69"/>
      <c r="J3331" s="69"/>
      <c r="K3331" s="69"/>
      <c r="L3331" s="69"/>
      <c r="M3331" s="69"/>
      <c r="N3331" s="69"/>
      <c r="O3331" s="69"/>
      <c r="P3331" s="69"/>
      <c r="Q3331" s="69"/>
      <c r="R3331" s="69"/>
      <c r="S3331" s="69"/>
      <c r="T3331" s="69"/>
      <c r="U3331" s="69"/>
      <c r="V3331" s="69"/>
      <c r="W3331" s="69"/>
    </row>
    <row r="3332" spans="7:23" x14ac:dyDescent="0.3">
      <c r="G3332" s="69"/>
      <c r="H3332" s="69"/>
      <c r="I3332" s="69"/>
      <c r="J3332" s="69"/>
      <c r="K3332" s="69"/>
      <c r="L3332" s="69"/>
      <c r="M3332" s="69"/>
      <c r="N3332" s="69"/>
      <c r="O3332" s="69"/>
      <c r="P3332" s="69"/>
      <c r="Q3332" s="69"/>
      <c r="R3332" s="69"/>
      <c r="S3332" s="69"/>
      <c r="T3332" s="69"/>
      <c r="U3332" s="69"/>
      <c r="V3332" s="69"/>
      <c r="W3332" s="69"/>
    </row>
    <row r="3333" spans="7:23" x14ac:dyDescent="0.3">
      <c r="G3333" s="69"/>
      <c r="H3333" s="69"/>
      <c r="I3333" s="69"/>
      <c r="J3333" s="69"/>
      <c r="K3333" s="69"/>
      <c r="L3333" s="69"/>
      <c r="M3333" s="69"/>
      <c r="N3333" s="69"/>
      <c r="O3333" s="69"/>
      <c r="P3333" s="69"/>
      <c r="Q3333" s="69"/>
      <c r="R3333" s="69"/>
      <c r="S3333" s="69"/>
      <c r="T3333" s="69"/>
      <c r="U3333" s="69"/>
      <c r="V3333" s="69"/>
      <c r="W3333" s="69"/>
    </row>
    <row r="3334" spans="7:23" x14ac:dyDescent="0.3">
      <c r="G3334" s="69"/>
      <c r="H3334" s="69"/>
      <c r="I3334" s="69"/>
      <c r="J3334" s="69"/>
      <c r="K3334" s="69"/>
      <c r="L3334" s="69"/>
      <c r="M3334" s="69"/>
      <c r="N3334" s="69"/>
      <c r="O3334" s="69"/>
      <c r="P3334" s="69"/>
      <c r="Q3334" s="69"/>
      <c r="R3334" s="69"/>
      <c r="S3334" s="69"/>
      <c r="T3334" s="69"/>
      <c r="U3334" s="69"/>
      <c r="V3334" s="69"/>
      <c r="W3334" s="69"/>
    </row>
    <row r="3335" spans="7:23" x14ac:dyDescent="0.3">
      <c r="G3335" s="69"/>
      <c r="H3335" s="69"/>
      <c r="I3335" s="69"/>
      <c r="J3335" s="69"/>
      <c r="K3335" s="69"/>
      <c r="L3335" s="69"/>
      <c r="M3335" s="69"/>
      <c r="N3335" s="69"/>
      <c r="O3335" s="69"/>
      <c r="P3335" s="69"/>
      <c r="Q3335" s="69"/>
      <c r="R3335" s="69"/>
      <c r="S3335" s="69"/>
      <c r="T3335" s="69"/>
      <c r="U3335" s="69"/>
      <c r="V3335" s="69"/>
      <c r="W3335" s="69"/>
    </row>
    <row r="3336" spans="7:23" x14ac:dyDescent="0.3">
      <c r="G3336" s="69"/>
      <c r="H3336" s="69"/>
      <c r="I3336" s="69"/>
      <c r="J3336" s="69"/>
      <c r="K3336" s="69"/>
      <c r="L3336" s="69"/>
      <c r="M3336" s="69"/>
      <c r="N3336" s="69"/>
      <c r="O3336" s="69"/>
      <c r="P3336" s="69"/>
      <c r="Q3336" s="69"/>
      <c r="R3336" s="69"/>
      <c r="S3336" s="69"/>
      <c r="T3336" s="69"/>
      <c r="U3336" s="69"/>
      <c r="V3336" s="69"/>
      <c r="W3336" s="69"/>
    </row>
    <row r="3337" spans="7:23" x14ac:dyDescent="0.3">
      <c r="G3337" s="69"/>
      <c r="H3337" s="69"/>
      <c r="I3337" s="69"/>
      <c r="J3337" s="69"/>
      <c r="K3337" s="69"/>
      <c r="L3337" s="69"/>
      <c r="M3337" s="69"/>
      <c r="N3337" s="69"/>
      <c r="O3337" s="69"/>
      <c r="P3337" s="69"/>
      <c r="Q3337" s="69"/>
      <c r="R3337" s="69"/>
      <c r="S3337" s="69"/>
      <c r="T3337" s="69"/>
      <c r="U3337" s="69"/>
      <c r="V3337" s="69"/>
      <c r="W3337" s="69"/>
    </row>
    <row r="3338" spans="7:23" x14ac:dyDescent="0.3">
      <c r="G3338" s="69"/>
      <c r="H3338" s="69"/>
      <c r="I3338" s="69"/>
      <c r="J3338" s="69"/>
      <c r="K3338" s="69"/>
      <c r="L3338" s="69"/>
      <c r="M3338" s="69"/>
      <c r="N3338" s="69"/>
      <c r="O3338" s="69"/>
      <c r="P3338" s="69"/>
      <c r="Q3338" s="69"/>
      <c r="R3338" s="69"/>
      <c r="S3338" s="69"/>
      <c r="T3338" s="69"/>
      <c r="U3338" s="69"/>
      <c r="V3338" s="69"/>
      <c r="W3338" s="69"/>
    </row>
    <row r="3339" spans="7:23" x14ac:dyDescent="0.3">
      <c r="G3339" s="69"/>
      <c r="H3339" s="69"/>
      <c r="I3339" s="69"/>
      <c r="J3339" s="69"/>
      <c r="K3339" s="69"/>
      <c r="L3339" s="69"/>
      <c r="M3339" s="69"/>
      <c r="N3339" s="69"/>
      <c r="O3339" s="69"/>
      <c r="P3339" s="69"/>
      <c r="Q3339" s="69"/>
      <c r="R3339" s="69"/>
      <c r="S3339" s="69"/>
      <c r="T3339" s="69"/>
      <c r="U3339" s="69"/>
      <c r="V3339" s="69"/>
      <c r="W3339" s="69"/>
    </row>
    <row r="3340" spans="7:23" x14ac:dyDescent="0.3">
      <c r="G3340" s="69"/>
      <c r="H3340" s="69"/>
      <c r="I3340" s="69"/>
      <c r="J3340" s="69"/>
      <c r="K3340" s="69"/>
      <c r="L3340" s="69"/>
      <c r="M3340" s="69"/>
      <c r="N3340" s="69"/>
      <c r="O3340" s="69"/>
      <c r="P3340" s="69"/>
      <c r="Q3340" s="69"/>
      <c r="R3340" s="69"/>
      <c r="S3340" s="69"/>
      <c r="T3340" s="69"/>
      <c r="U3340" s="69"/>
      <c r="V3340" s="69"/>
      <c r="W3340" s="69"/>
    </row>
    <row r="3341" spans="7:23" x14ac:dyDescent="0.3">
      <c r="G3341" s="69"/>
      <c r="H3341" s="69"/>
      <c r="I3341" s="69"/>
      <c r="J3341" s="69"/>
      <c r="K3341" s="69"/>
      <c r="L3341" s="69"/>
      <c r="M3341" s="69"/>
      <c r="N3341" s="69"/>
      <c r="O3341" s="69"/>
      <c r="P3341" s="69"/>
      <c r="Q3341" s="69"/>
      <c r="R3341" s="69"/>
      <c r="S3341" s="69"/>
      <c r="T3341" s="69"/>
      <c r="U3341" s="69"/>
      <c r="V3341" s="69"/>
      <c r="W3341" s="69"/>
    </row>
    <row r="3342" spans="7:23" x14ac:dyDescent="0.3">
      <c r="G3342" s="69"/>
      <c r="H3342" s="69"/>
      <c r="I3342" s="69"/>
      <c r="J3342" s="69"/>
      <c r="K3342" s="69"/>
      <c r="L3342" s="69"/>
      <c r="M3342" s="69"/>
      <c r="N3342" s="69"/>
      <c r="O3342" s="69"/>
      <c r="P3342" s="69"/>
      <c r="Q3342" s="69"/>
      <c r="R3342" s="69"/>
      <c r="S3342" s="69"/>
      <c r="T3342" s="69"/>
      <c r="U3342" s="69"/>
      <c r="V3342" s="69"/>
      <c r="W3342" s="69"/>
    </row>
    <row r="3343" spans="7:23" x14ac:dyDescent="0.3">
      <c r="G3343" s="69"/>
      <c r="H3343" s="69"/>
      <c r="I3343" s="69"/>
      <c r="J3343" s="69"/>
      <c r="K3343" s="69"/>
      <c r="L3343" s="69"/>
      <c r="M3343" s="69"/>
      <c r="N3343" s="69"/>
      <c r="O3343" s="69"/>
      <c r="P3343" s="69"/>
      <c r="Q3343" s="69"/>
      <c r="R3343" s="69"/>
      <c r="S3343" s="69"/>
      <c r="T3343" s="69"/>
      <c r="U3343" s="69"/>
      <c r="V3343" s="69"/>
      <c r="W3343" s="69"/>
    </row>
    <row r="3344" spans="7:23" x14ac:dyDescent="0.3">
      <c r="G3344" s="69"/>
      <c r="H3344" s="69"/>
      <c r="I3344" s="69"/>
      <c r="J3344" s="69"/>
      <c r="K3344" s="69"/>
      <c r="L3344" s="69"/>
      <c r="M3344" s="69"/>
      <c r="N3344" s="69"/>
      <c r="O3344" s="69"/>
      <c r="P3344" s="69"/>
      <c r="Q3344" s="69"/>
      <c r="R3344" s="69"/>
      <c r="S3344" s="69"/>
      <c r="T3344" s="69"/>
      <c r="U3344" s="69"/>
      <c r="V3344" s="69"/>
      <c r="W3344" s="69"/>
    </row>
    <row r="3345" spans="7:23" x14ac:dyDescent="0.3">
      <c r="G3345" s="69"/>
      <c r="H3345" s="69"/>
      <c r="I3345" s="69"/>
      <c r="J3345" s="69"/>
      <c r="K3345" s="69"/>
      <c r="L3345" s="69"/>
      <c r="M3345" s="69"/>
      <c r="N3345" s="69"/>
      <c r="O3345" s="69"/>
      <c r="P3345" s="69"/>
      <c r="Q3345" s="69"/>
      <c r="R3345" s="69"/>
      <c r="S3345" s="69"/>
      <c r="T3345" s="69"/>
      <c r="U3345" s="69"/>
      <c r="V3345" s="69"/>
      <c r="W3345" s="69"/>
    </row>
    <row r="3346" spans="7:23" x14ac:dyDescent="0.3">
      <c r="G3346" s="69"/>
      <c r="H3346" s="69"/>
      <c r="I3346" s="69"/>
      <c r="J3346" s="69"/>
      <c r="K3346" s="69"/>
      <c r="L3346" s="69"/>
      <c r="M3346" s="69"/>
      <c r="N3346" s="69"/>
      <c r="O3346" s="69"/>
      <c r="P3346" s="69"/>
      <c r="Q3346" s="69"/>
      <c r="R3346" s="69"/>
      <c r="S3346" s="69"/>
      <c r="T3346" s="69"/>
      <c r="U3346" s="69"/>
      <c r="V3346" s="69"/>
      <c r="W3346" s="69"/>
    </row>
    <row r="3347" spans="7:23" x14ac:dyDescent="0.3">
      <c r="G3347" s="69"/>
      <c r="H3347" s="69"/>
      <c r="I3347" s="69"/>
      <c r="J3347" s="69"/>
      <c r="K3347" s="69"/>
      <c r="L3347" s="69"/>
      <c r="M3347" s="69"/>
      <c r="N3347" s="69"/>
      <c r="O3347" s="69"/>
      <c r="P3347" s="69"/>
      <c r="Q3347" s="69"/>
      <c r="R3347" s="69"/>
      <c r="S3347" s="69"/>
      <c r="T3347" s="69"/>
      <c r="U3347" s="69"/>
      <c r="V3347" s="69"/>
      <c r="W3347" s="69"/>
    </row>
    <row r="3348" spans="7:23" x14ac:dyDescent="0.3">
      <c r="G3348" s="69"/>
      <c r="H3348" s="69"/>
      <c r="I3348" s="69"/>
      <c r="J3348" s="69"/>
      <c r="K3348" s="69"/>
      <c r="L3348" s="69"/>
      <c r="M3348" s="69"/>
      <c r="N3348" s="69"/>
      <c r="O3348" s="69"/>
      <c r="P3348" s="69"/>
      <c r="Q3348" s="69"/>
      <c r="R3348" s="69"/>
      <c r="S3348" s="69"/>
      <c r="T3348" s="69"/>
      <c r="U3348" s="69"/>
      <c r="V3348" s="69"/>
      <c r="W3348" s="69"/>
    </row>
    <row r="3349" spans="7:23" x14ac:dyDescent="0.3">
      <c r="G3349" s="69"/>
      <c r="H3349" s="69"/>
      <c r="I3349" s="69"/>
      <c r="J3349" s="69"/>
      <c r="K3349" s="69"/>
      <c r="L3349" s="69"/>
      <c r="M3349" s="69"/>
      <c r="N3349" s="69"/>
      <c r="O3349" s="69"/>
      <c r="P3349" s="69"/>
      <c r="Q3349" s="69"/>
      <c r="R3349" s="69"/>
      <c r="S3349" s="69"/>
      <c r="T3349" s="69"/>
      <c r="U3349" s="69"/>
      <c r="V3349" s="69"/>
      <c r="W3349" s="69"/>
    </row>
    <row r="3350" spans="7:23" x14ac:dyDescent="0.3">
      <c r="G3350" s="69"/>
      <c r="H3350" s="69"/>
      <c r="I3350" s="69"/>
      <c r="J3350" s="69"/>
      <c r="K3350" s="69"/>
      <c r="L3350" s="69"/>
      <c r="M3350" s="69"/>
      <c r="N3350" s="69"/>
      <c r="O3350" s="69"/>
      <c r="P3350" s="69"/>
      <c r="Q3350" s="69"/>
      <c r="R3350" s="69"/>
      <c r="S3350" s="69"/>
      <c r="T3350" s="69"/>
      <c r="U3350" s="69"/>
      <c r="V3350" s="69"/>
      <c r="W3350" s="69"/>
    </row>
    <row r="3351" spans="7:23" x14ac:dyDescent="0.3">
      <c r="G3351" s="69"/>
      <c r="H3351" s="69"/>
      <c r="I3351" s="69"/>
      <c r="J3351" s="69"/>
      <c r="K3351" s="69"/>
      <c r="L3351" s="69"/>
      <c r="M3351" s="69"/>
      <c r="N3351" s="69"/>
      <c r="O3351" s="69"/>
      <c r="P3351" s="69"/>
      <c r="Q3351" s="69"/>
      <c r="R3351" s="69"/>
      <c r="S3351" s="69"/>
      <c r="T3351" s="69"/>
      <c r="U3351" s="69"/>
      <c r="V3351" s="69"/>
      <c r="W3351" s="69"/>
    </row>
    <row r="3352" spans="7:23" x14ac:dyDescent="0.3">
      <c r="G3352" s="69"/>
      <c r="H3352" s="69"/>
      <c r="I3352" s="69"/>
      <c r="J3352" s="69"/>
      <c r="K3352" s="69"/>
      <c r="L3352" s="69"/>
      <c r="M3352" s="69"/>
      <c r="N3352" s="69"/>
      <c r="O3352" s="69"/>
      <c r="P3352" s="69"/>
      <c r="Q3352" s="69"/>
      <c r="R3352" s="69"/>
      <c r="S3352" s="69"/>
      <c r="T3352" s="69"/>
      <c r="U3352" s="69"/>
      <c r="V3352" s="69"/>
      <c r="W3352" s="69"/>
    </row>
    <row r="3353" spans="7:23" x14ac:dyDescent="0.3">
      <c r="G3353" s="69"/>
      <c r="H3353" s="69"/>
      <c r="I3353" s="69"/>
      <c r="J3353" s="69"/>
      <c r="K3353" s="69"/>
      <c r="L3353" s="69"/>
      <c r="M3353" s="69"/>
      <c r="N3353" s="69"/>
      <c r="O3353" s="69"/>
      <c r="P3353" s="69"/>
      <c r="Q3353" s="69"/>
      <c r="R3353" s="69"/>
      <c r="S3353" s="69"/>
      <c r="T3353" s="69"/>
      <c r="U3353" s="69"/>
      <c r="V3353" s="69"/>
      <c r="W3353" s="69"/>
    </row>
    <row r="3354" spans="7:23" x14ac:dyDescent="0.3">
      <c r="G3354" s="69"/>
      <c r="H3354" s="69"/>
      <c r="I3354" s="69"/>
      <c r="J3354" s="69"/>
      <c r="K3354" s="69"/>
      <c r="L3354" s="69"/>
      <c r="M3354" s="69"/>
      <c r="N3354" s="69"/>
      <c r="O3354" s="69"/>
      <c r="P3354" s="69"/>
      <c r="Q3354" s="69"/>
      <c r="R3354" s="69"/>
      <c r="S3354" s="69"/>
      <c r="T3354" s="69"/>
      <c r="U3354" s="69"/>
      <c r="V3354" s="69"/>
      <c r="W3354" s="69"/>
    </row>
    <row r="3355" spans="7:23" x14ac:dyDescent="0.3">
      <c r="G3355" s="69"/>
      <c r="H3355" s="69"/>
      <c r="I3355" s="69"/>
      <c r="J3355" s="69"/>
      <c r="K3355" s="69"/>
      <c r="L3355" s="69"/>
      <c r="M3355" s="69"/>
      <c r="N3355" s="69"/>
      <c r="O3355" s="69"/>
      <c r="P3355" s="69"/>
      <c r="Q3355" s="69"/>
      <c r="R3355" s="69"/>
      <c r="S3355" s="69"/>
      <c r="T3355" s="69"/>
      <c r="U3355" s="69"/>
      <c r="V3355" s="69"/>
      <c r="W3355" s="69"/>
    </row>
    <row r="3356" spans="7:23" x14ac:dyDescent="0.3">
      <c r="G3356" s="69"/>
      <c r="H3356" s="69"/>
      <c r="I3356" s="69"/>
      <c r="J3356" s="69"/>
      <c r="K3356" s="69"/>
      <c r="L3356" s="69"/>
      <c r="M3356" s="69"/>
      <c r="N3356" s="69"/>
      <c r="O3356" s="69"/>
      <c r="P3356" s="69"/>
      <c r="Q3356" s="69"/>
      <c r="R3356" s="69"/>
      <c r="S3356" s="69"/>
      <c r="T3356" s="69"/>
      <c r="U3356" s="69"/>
      <c r="V3356" s="69"/>
      <c r="W3356" s="69"/>
    </row>
    <row r="3357" spans="7:23" x14ac:dyDescent="0.3">
      <c r="G3357" s="69"/>
      <c r="H3357" s="69"/>
      <c r="I3357" s="69"/>
      <c r="J3357" s="69"/>
      <c r="K3357" s="69"/>
      <c r="L3357" s="69"/>
      <c r="M3357" s="69"/>
      <c r="N3357" s="69"/>
      <c r="O3357" s="69"/>
      <c r="P3357" s="69"/>
      <c r="Q3357" s="69"/>
      <c r="R3357" s="69"/>
      <c r="S3357" s="69"/>
      <c r="T3357" s="69"/>
      <c r="U3357" s="69"/>
      <c r="V3357" s="69"/>
      <c r="W3357" s="69"/>
    </row>
    <row r="3358" spans="7:23" x14ac:dyDescent="0.3">
      <c r="G3358" s="69"/>
      <c r="H3358" s="69"/>
      <c r="I3358" s="69"/>
      <c r="J3358" s="69"/>
      <c r="K3358" s="69"/>
      <c r="L3358" s="69"/>
      <c r="M3358" s="69"/>
      <c r="N3358" s="69"/>
      <c r="O3358" s="69"/>
      <c r="P3358" s="69"/>
      <c r="Q3358" s="69"/>
      <c r="R3358" s="69"/>
      <c r="S3358" s="69"/>
      <c r="T3358" s="69"/>
      <c r="U3358" s="69"/>
      <c r="V3358" s="69"/>
      <c r="W3358" s="69"/>
    </row>
    <row r="3359" spans="7:23" x14ac:dyDescent="0.3">
      <c r="G3359" s="69"/>
      <c r="H3359" s="69"/>
      <c r="I3359" s="69"/>
      <c r="J3359" s="69"/>
      <c r="K3359" s="69"/>
      <c r="L3359" s="69"/>
      <c r="M3359" s="69"/>
      <c r="N3359" s="69"/>
      <c r="O3359" s="69"/>
      <c r="P3359" s="69"/>
      <c r="Q3359" s="69"/>
      <c r="R3359" s="69"/>
      <c r="S3359" s="69"/>
      <c r="T3359" s="69"/>
      <c r="U3359" s="69"/>
      <c r="V3359" s="69"/>
      <c r="W3359" s="69"/>
    </row>
    <row r="3360" spans="7:23" x14ac:dyDescent="0.3">
      <c r="G3360" s="69"/>
      <c r="H3360" s="69"/>
      <c r="I3360" s="69"/>
      <c r="J3360" s="69"/>
      <c r="K3360" s="69"/>
      <c r="L3360" s="69"/>
      <c r="M3360" s="69"/>
      <c r="N3360" s="69"/>
      <c r="O3360" s="69"/>
      <c r="P3360" s="69"/>
      <c r="Q3360" s="69"/>
      <c r="R3360" s="69"/>
      <c r="S3360" s="69"/>
      <c r="T3360" s="69"/>
      <c r="U3360" s="69"/>
      <c r="V3360" s="69"/>
      <c r="W3360" s="69"/>
    </row>
    <row r="3361" spans="7:23" x14ac:dyDescent="0.3">
      <c r="G3361" s="69"/>
      <c r="H3361" s="69"/>
      <c r="I3361" s="69"/>
      <c r="J3361" s="69"/>
      <c r="K3361" s="69"/>
      <c r="L3361" s="69"/>
      <c r="M3361" s="69"/>
      <c r="N3361" s="69"/>
      <c r="O3361" s="69"/>
      <c r="P3361" s="69"/>
      <c r="Q3361" s="69"/>
      <c r="R3361" s="69"/>
      <c r="S3361" s="69"/>
      <c r="T3361" s="69"/>
      <c r="U3361" s="69"/>
      <c r="V3361" s="69"/>
      <c r="W3361" s="69"/>
    </row>
    <row r="3362" spans="7:23" x14ac:dyDescent="0.3">
      <c r="G3362" s="69"/>
      <c r="H3362" s="69"/>
      <c r="I3362" s="69"/>
      <c r="J3362" s="69"/>
      <c r="K3362" s="69"/>
      <c r="L3362" s="69"/>
      <c r="M3362" s="69"/>
      <c r="N3362" s="69"/>
      <c r="O3362" s="69"/>
      <c r="P3362" s="69"/>
      <c r="Q3362" s="69"/>
      <c r="R3362" s="69"/>
      <c r="S3362" s="69"/>
      <c r="T3362" s="69"/>
      <c r="U3362" s="69"/>
      <c r="V3362" s="69"/>
      <c r="W3362" s="69"/>
    </row>
    <row r="3363" spans="7:23" x14ac:dyDescent="0.3">
      <c r="G3363" s="69"/>
      <c r="H3363" s="69"/>
      <c r="I3363" s="69"/>
      <c r="J3363" s="69"/>
      <c r="K3363" s="69"/>
      <c r="L3363" s="69"/>
      <c r="M3363" s="69"/>
      <c r="N3363" s="69"/>
      <c r="O3363" s="69"/>
      <c r="P3363" s="69"/>
      <c r="Q3363" s="69"/>
      <c r="R3363" s="69"/>
      <c r="S3363" s="69"/>
      <c r="T3363" s="69"/>
      <c r="U3363" s="69"/>
      <c r="V3363" s="69"/>
      <c r="W3363" s="69"/>
    </row>
    <row r="3364" spans="7:23" x14ac:dyDescent="0.3">
      <c r="G3364" s="69"/>
      <c r="H3364" s="69"/>
      <c r="I3364" s="69"/>
      <c r="J3364" s="69"/>
      <c r="K3364" s="69"/>
      <c r="L3364" s="69"/>
      <c r="M3364" s="69"/>
      <c r="N3364" s="69"/>
      <c r="O3364" s="69"/>
      <c r="P3364" s="69"/>
      <c r="Q3364" s="69"/>
      <c r="R3364" s="69"/>
      <c r="S3364" s="69"/>
      <c r="T3364" s="69"/>
      <c r="U3364" s="69"/>
      <c r="V3364" s="69"/>
      <c r="W3364" s="69"/>
    </row>
    <row r="3365" spans="7:23" x14ac:dyDescent="0.3">
      <c r="G3365" s="69"/>
      <c r="H3365" s="69"/>
      <c r="I3365" s="69"/>
      <c r="J3365" s="69"/>
      <c r="K3365" s="69"/>
      <c r="L3365" s="69"/>
      <c r="M3365" s="69"/>
      <c r="N3365" s="69"/>
      <c r="O3365" s="69"/>
      <c r="P3365" s="69"/>
      <c r="Q3365" s="69"/>
      <c r="R3365" s="69"/>
      <c r="S3365" s="69"/>
      <c r="T3365" s="69"/>
      <c r="U3365" s="69"/>
      <c r="V3365" s="69"/>
      <c r="W3365" s="69"/>
    </row>
    <row r="3366" spans="7:23" x14ac:dyDescent="0.3">
      <c r="G3366" s="69"/>
      <c r="H3366" s="69"/>
      <c r="I3366" s="69"/>
      <c r="J3366" s="69"/>
      <c r="K3366" s="69"/>
      <c r="L3366" s="69"/>
      <c r="M3366" s="69"/>
      <c r="N3366" s="69"/>
      <c r="O3366" s="69"/>
      <c r="P3366" s="69"/>
      <c r="Q3366" s="69"/>
      <c r="R3366" s="69"/>
      <c r="S3366" s="69"/>
      <c r="T3366" s="69"/>
      <c r="U3366" s="69"/>
      <c r="V3366" s="69"/>
      <c r="W3366" s="69"/>
    </row>
    <row r="3367" spans="7:23" x14ac:dyDescent="0.3">
      <c r="G3367" s="69"/>
      <c r="H3367" s="69"/>
      <c r="I3367" s="69"/>
      <c r="J3367" s="69"/>
      <c r="K3367" s="69"/>
      <c r="L3367" s="69"/>
      <c r="M3367" s="69"/>
      <c r="N3367" s="69"/>
      <c r="O3367" s="69"/>
      <c r="P3367" s="69"/>
      <c r="Q3367" s="69"/>
      <c r="R3367" s="69"/>
      <c r="S3367" s="69"/>
      <c r="T3367" s="69"/>
      <c r="U3367" s="69"/>
      <c r="V3367" s="69"/>
      <c r="W3367" s="69"/>
    </row>
    <row r="3368" spans="7:23" x14ac:dyDescent="0.3">
      <c r="G3368" s="69"/>
      <c r="H3368" s="69"/>
      <c r="I3368" s="69"/>
      <c r="J3368" s="69"/>
      <c r="K3368" s="69"/>
      <c r="L3368" s="69"/>
      <c r="M3368" s="69"/>
      <c r="N3368" s="69"/>
      <c r="O3368" s="69"/>
      <c r="P3368" s="69"/>
      <c r="Q3368" s="69"/>
      <c r="R3368" s="69"/>
      <c r="S3368" s="69"/>
      <c r="T3368" s="69"/>
      <c r="U3368" s="69"/>
      <c r="V3368" s="69"/>
      <c r="W3368" s="69"/>
    </row>
    <row r="3369" spans="7:23" x14ac:dyDescent="0.3">
      <c r="G3369" s="69"/>
      <c r="H3369" s="69"/>
      <c r="I3369" s="69"/>
      <c r="J3369" s="69"/>
      <c r="K3369" s="69"/>
      <c r="L3369" s="69"/>
      <c r="M3369" s="69"/>
      <c r="N3369" s="69"/>
      <c r="O3369" s="69"/>
      <c r="P3369" s="69"/>
      <c r="Q3369" s="69"/>
      <c r="R3369" s="69"/>
      <c r="S3369" s="69"/>
      <c r="T3369" s="69"/>
      <c r="U3369" s="69"/>
      <c r="V3369" s="69"/>
      <c r="W3369" s="69"/>
    </row>
    <row r="3370" spans="7:23" x14ac:dyDescent="0.3">
      <c r="G3370" s="69"/>
      <c r="H3370" s="69"/>
      <c r="I3370" s="69"/>
      <c r="J3370" s="69"/>
      <c r="K3370" s="69"/>
      <c r="L3370" s="69"/>
      <c r="M3370" s="69"/>
      <c r="N3370" s="69"/>
      <c r="O3370" s="69"/>
      <c r="P3370" s="69"/>
      <c r="Q3370" s="69"/>
      <c r="R3370" s="69"/>
      <c r="S3370" s="69"/>
      <c r="T3370" s="69"/>
      <c r="U3370" s="69"/>
      <c r="V3370" s="69"/>
      <c r="W3370" s="69"/>
    </row>
    <row r="3371" spans="7:23" x14ac:dyDescent="0.3">
      <c r="G3371" s="69"/>
      <c r="H3371" s="69"/>
      <c r="I3371" s="69"/>
      <c r="J3371" s="69"/>
      <c r="K3371" s="69"/>
      <c r="L3371" s="69"/>
      <c r="M3371" s="69"/>
      <c r="N3371" s="69"/>
      <c r="O3371" s="69"/>
      <c r="P3371" s="69"/>
      <c r="Q3371" s="69"/>
      <c r="R3371" s="69"/>
      <c r="S3371" s="69"/>
      <c r="T3371" s="69"/>
      <c r="U3371" s="69"/>
      <c r="V3371" s="69"/>
      <c r="W3371" s="69"/>
    </row>
    <row r="3372" spans="7:23" x14ac:dyDescent="0.3">
      <c r="G3372" s="69"/>
      <c r="H3372" s="69"/>
      <c r="I3372" s="69"/>
      <c r="J3372" s="69"/>
      <c r="K3372" s="69"/>
      <c r="L3372" s="69"/>
      <c r="M3372" s="69"/>
      <c r="N3372" s="69"/>
      <c r="O3372" s="69"/>
      <c r="P3372" s="69"/>
      <c r="Q3372" s="69"/>
      <c r="R3372" s="69"/>
      <c r="S3372" s="69"/>
      <c r="T3372" s="69"/>
      <c r="U3372" s="69"/>
      <c r="V3372" s="69"/>
      <c r="W3372" s="69"/>
    </row>
    <row r="3373" spans="7:23" x14ac:dyDescent="0.3">
      <c r="G3373" s="69"/>
      <c r="H3373" s="69"/>
      <c r="I3373" s="69"/>
      <c r="J3373" s="69"/>
      <c r="K3373" s="69"/>
      <c r="L3373" s="69"/>
      <c r="M3373" s="69"/>
      <c r="N3373" s="69"/>
      <c r="O3373" s="69"/>
      <c r="P3373" s="69"/>
      <c r="Q3373" s="69"/>
      <c r="R3373" s="69"/>
      <c r="S3373" s="69"/>
      <c r="T3373" s="69"/>
      <c r="U3373" s="69"/>
      <c r="V3373" s="69"/>
      <c r="W3373" s="69"/>
    </row>
    <row r="3374" spans="7:23" x14ac:dyDescent="0.3">
      <c r="G3374" s="69"/>
      <c r="H3374" s="69"/>
      <c r="I3374" s="69"/>
      <c r="J3374" s="69"/>
      <c r="K3374" s="69"/>
      <c r="L3374" s="69"/>
      <c r="M3374" s="69"/>
      <c r="N3374" s="69"/>
      <c r="O3374" s="69"/>
      <c r="P3374" s="69"/>
      <c r="Q3374" s="69"/>
      <c r="R3374" s="69"/>
      <c r="S3374" s="69"/>
      <c r="T3374" s="69"/>
      <c r="U3374" s="69"/>
      <c r="V3374" s="69"/>
      <c r="W3374" s="69"/>
    </row>
    <row r="3375" spans="7:23" x14ac:dyDescent="0.3">
      <c r="G3375" s="69"/>
      <c r="H3375" s="69"/>
      <c r="I3375" s="69"/>
      <c r="J3375" s="69"/>
      <c r="K3375" s="69"/>
      <c r="L3375" s="69"/>
      <c r="M3375" s="69"/>
      <c r="N3375" s="69"/>
      <c r="O3375" s="69"/>
      <c r="P3375" s="69"/>
      <c r="Q3375" s="69"/>
      <c r="R3375" s="69"/>
      <c r="S3375" s="69"/>
      <c r="T3375" s="69"/>
      <c r="U3375" s="69"/>
      <c r="V3375" s="69"/>
      <c r="W3375" s="69"/>
    </row>
    <row r="3376" spans="7:23" x14ac:dyDescent="0.3">
      <c r="G3376" s="69"/>
      <c r="H3376" s="69"/>
      <c r="I3376" s="69"/>
      <c r="J3376" s="69"/>
      <c r="K3376" s="69"/>
      <c r="L3376" s="69"/>
      <c r="M3376" s="69"/>
      <c r="N3376" s="69"/>
      <c r="O3376" s="69"/>
      <c r="P3376" s="69"/>
      <c r="Q3376" s="69"/>
      <c r="R3376" s="69"/>
      <c r="S3376" s="69"/>
      <c r="T3376" s="69"/>
      <c r="U3376" s="69"/>
      <c r="V3376" s="69"/>
      <c r="W3376" s="69"/>
    </row>
    <row r="3377" spans="7:23" x14ac:dyDescent="0.3">
      <c r="G3377" s="69"/>
      <c r="H3377" s="69"/>
      <c r="I3377" s="69"/>
      <c r="J3377" s="69"/>
      <c r="K3377" s="69"/>
      <c r="L3377" s="69"/>
      <c r="M3377" s="69"/>
      <c r="N3377" s="69"/>
      <c r="O3377" s="69"/>
      <c r="P3377" s="69"/>
      <c r="Q3377" s="69"/>
      <c r="R3377" s="69"/>
      <c r="S3377" s="69"/>
      <c r="T3377" s="69"/>
      <c r="U3377" s="69"/>
      <c r="V3377" s="69"/>
      <c r="W3377" s="69"/>
    </row>
    <row r="3378" spans="7:23" x14ac:dyDescent="0.3">
      <c r="G3378" s="69"/>
      <c r="H3378" s="69"/>
      <c r="I3378" s="69"/>
      <c r="J3378" s="69"/>
      <c r="K3378" s="69"/>
      <c r="L3378" s="69"/>
      <c r="M3378" s="69"/>
      <c r="N3378" s="69"/>
      <c r="O3378" s="69"/>
      <c r="P3378" s="69"/>
      <c r="Q3378" s="69"/>
      <c r="R3378" s="69"/>
      <c r="S3378" s="69"/>
      <c r="T3378" s="69"/>
      <c r="U3378" s="69"/>
      <c r="V3378" s="69"/>
      <c r="W3378" s="69"/>
    </row>
    <row r="3379" spans="7:23" x14ac:dyDescent="0.3">
      <c r="G3379" s="69"/>
      <c r="H3379" s="69"/>
      <c r="I3379" s="69"/>
      <c r="J3379" s="69"/>
      <c r="K3379" s="69"/>
      <c r="L3379" s="69"/>
      <c r="M3379" s="69"/>
      <c r="N3379" s="69"/>
      <c r="O3379" s="69"/>
      <c r="P3379" s="69"/>
      <c r="Q3379" s="69"/>
      <c r="R3379" s="69"/>
      <c r="S3379" s="69"/>
      <c r="T3379" s="69"/>
      <c r="U3379" s="69"/>
      <c r="V3379" s="69"/>
      <c r="W3379" s="69"/>
    </row>
    <row r="3380" spans="7:23" x14ac:dyDescent="0.3">
      <c r="G3380" s="69"/>
      <c r="H3380" s="69"/>
      <c r="I3380" s="69"/>
      <c r="J3380" s="69"/>
      <c r="K3380" s="69"/>
      <c r="L3380" s="69"/>
      <c r="M3380" s="69"/>
      <c r="N3380" s="69"/>
      <c r="O3380" s="69"/>
      <c r="P3380" s="69"/>
      <c r="Q3380" s="69"/>
      <c r="R3380" s="69"/>
      <c r="S3380" s="69"/>
      <c r="T3380" s="69"/>
      <c r="U3380" s="69"/>
      <c r="V3380" s="69"/>
      <c r="W3380" s="69"/>
    </row>
    <row r="3381" spans="7:23" x14ac:dyDescent="0.3">
      <c r="G3381" s="69"/>
      <c r="H3381" s="69"/>
      <c r="I3381" s="69"/>
      <c r="J3381" s="69"/>
      <c r="K3381" s="69"/>
      <c r="L3381" s="69"/>
      <c r="M3381" s="69"/>
      <c r="N3381" s="69"/>
      <c r="O3381" s="69"/>
      <c r="P3381" s="69"/>
      <c r="Q3381" s="69"/>
      <c r="R3381" s="69"/>
      <c r="S3381" s="69"/>
      <c r="T3381" s="69"/>
      <c r="U3381" s="69"/>
      <c r="V3381" s="69"/>
      <c r="W3381" s="69"/>
    </row>
    <row r="3382" spans="7:23" x14ac:dyDescent="0.3">
      <c r="G3382" s="69"/>
      <c r="H3382" s="69"/>
      <c r="I3382" s="69"/>
      <c r="J3382" s="69"/>
      <c r="K3382" s="69"/>
      <c r="L3382" s="69"/>
      <c r="M3382" s="69"/>
      <c r="N3382" s="69"/>
      <c r="O3382" s="69"/>
      <c r="P3382" s="69"/>
      <c r="Q3382" s="69"/>
      <c r="R3382" s="69"/>
      <c r="S3382" s="69"/>
      <c r="T3382" s="69"/>
      <c r="U3382" s="69"/>
      <c r="V3382" s="69"/>
      <c r="W3382" s="69"/>
    </row>
    <row r="3383" spans="7:23" x14ac:dyDescent="0.3">
      <c r="G3383" s="69"/>
      <c r="H3383" s="69"/>
      <c r="I3383" s="69"/>
      <c r="J3383" s="69"/>
      <c r="K3383" s="69"/>
      <c r="L3383" s="69"/>
      <c r="M3383" s="69"/>
      <c r="N3383" s="69"/>
      <c r="O3383" s="69"/>
      <c r="P3383" s="69"/>
      <c r="Q3383" s="69"/>
      <c r="R3383" s="69"/>
      <c r="S3383" s="69"/>
      <c r="T3383" s="69"/>
      <c r="U3383" s="69"/>
      <c r="V3383" s="69"/>
      <c r="W3383" s="69"/>
    </row>
    <row r="3384" spans="7:23" x14ac:dyDescent="0.3">
      <c r="G3384" s="69"/>
      <c r="H3384" s="69"/>
      <c r="I3384" s="69"/>
      <c r="J3384" s="69"/>
      <c r="K3384" s="69"/>
      <c r="L3384" s="69"/>
      <c r="M3384" s="69"/>
      <c r="N3384" s="69"/>
      <c r="O3384" s="69"/>
      <c r="P3384" s="69"/>
      <c r="Q3384" s="69"/>
      <c r="R3384" s="69"/>
      <c r="S3384" s="69"/>
      <c r="T3384" s="69"/>
      <c r="U3384" s="69"/>
      <c r="V3384" s="69"/>
      <c r="W3384" s="69"/>
    </row>
    <row r="3385" spans="7:23" x14ac:dyDescent="0.3">
      <c r="G3385" s="69"/>
      <c r="H3385" s="69"/>
      <c r="I3385" s="69"/>
      <c r="J3385" s="69"/>
      <c r="K3385" s="69"/>
      <c r="L3385" s="69"/>
      <c r="M3385" s="69"/>
      <c r="N3385" s="69"/>
      <c r="O3385" s="69"/>
      <c r="P3385" s="69"/>
      <c r="Q3385" s="69"/>
      <c r="R3385" s="69"/>
      <c r="S3385" s="69"/>
      <c r="T3385" s="69"/>
      <c r="U3385" s="69"/>
      <c r="V3385" s="69"/>
      <c r="W3385" s="69"/>
    </row>
    <row r="3386" spans="7:23" x14ac:dyDescent="0.3">
      <c r="G3386" s="69"/>
      <c r="H3386" s="69"/>
      <c r="I3386" s="69"/>
      <c r="J3386" s="69"/>
      <c r="K3386" s="69"/>
      <c r="L3386" s="69"/>
      <c r="M3386" s="69"/>
      <c r="N3386" s="69"/>
      <c r="O3386" s="69"/>
      <c r="P3386" s="69"/>
      <c r="Q3386" s="69"/>
      <c r="R3386" s="69"/>
      <c r="S3386" s="69"/>
      <c r="T3386" s="69"/>
      <c r="U3386" s="69"/>
      <c r="V3386" s="69"/>
      <c r="W3386" s="69"/>
    </row>
    <row r="3387" spans="7:23" x14ac:dyDescent="0.3">
      <c r="G3387" s="69"/>
      <c r="H3387" s="69"/>
      <c r="I3387" s="69"/>
      <c r="J3387" s="69"/>
      <c r="K3387" s="69"/>
      <c r="L3387" s="69"/>
      <c r="M3387" s="69"/>
      <c r="N3387" s="69"/>
      <c r="O3387" s="69"/>
      <c r="P3387" s="69"/>
      <c r="Q3387" s="69"/>
      <c r="R3387" s="69"/>
      <c r="S3387" s="69"/>
      <c r="T3387" s="69"/>
      <c r="U3387" s="69"/>
      <c r="V3387" s="69"/>
      <c r="W3387" s="69"/>
    </row>
    <row r="3388" spans="7:23" x14ac:dyDescent="0.3">
      <c r="G3388" s="69"/>
      <c r="H3388" s="69"/>
      <c r="I3388" s="69"/>
      <c r="J3388" s="69"/>
      <c r="K3388" s="69"/>
      <c r="L3388" s="69"/>
      <c r="M3388" s="69"/>
      <c r="N3388" s="69"/>
      <c r="O3388" s="69"/>
      <c r="P3388" s="69"/>
      <c r="Q3388" s="69"/>
      <c r="R3388" s="69"/>
      <c r="S3388" s="69"/>
      <c r="T3388" s="69"/>
      <c r="U3388" s="69"/>
      <c r="V3388" s="69"/>
      <c r="W3388" s="69"/>
    </row>
    <row r="3389" spans="7:23" x14ac:dyDescent="0.3">
      <c r="G3389" s="69"/>
      <c r="H3389" s="69"/>
      <c r="I3389" s="69"/>
      <c r="J3389" s="69"/>
      <c r="K3389" s="69"/>
      <c r="L3389" s="69"/>
      <c r="M3389" s="69"/>
      <c r="N3389" s="69"/>
      <c r="O3389" s="69"/>
      <c r="P3389" s="69"/>
      <c r="Q3389" s="69"/>
      <c r="R3389" s="69"/>
      <c r="S3389" s="69"/>
      <c r="T3389" s="69"/>
      <c r="U3389" s="69"/>
      <c r="V3389" s="69"/>
      <c r="W3389" s="69"/>
    </row>
    <row r="3390" spans="7:23" x14ac:dyDescent="0.3">
      <c r="G3390" s="69"/>
      <c r="H3390" s="69"/>
      <c r="I3390" s="69"/>
      <c r="J3390" s="69"/>
      <c r="K3390" s="69"/>
      <c r="L3390" s="69"/>
      <c r="M3390" s="69"/>
      <c r="N3390" s="69"/>
      <c r="O3390" s="69"/>
      <c r="P3390" s="69"/>
      <c r="Q3390" s="69"/>
      <c r="R3390" s="69"/>
      <c r="S3390" s="69"/>
      <c r="T3390" s="69"/>
      <c r="U3390" s="69"/>
      <c r="V3390" s="69"/>
      <c r="W3390" s="69"/>
    </row>
    <row r="3391" spans="7:23" x14ac:dyDescent="0.3">
      <c r="G3391" s="69"/>
      <c r="H3391" s="69"/>
      <c r="I3391" s="69"/>
      <c r="J3391" s="69"/>
      <c r="K3391" s="69"/>
      <c r="L3391" s="69"/>
      <c r="M3391" s="69"/>
      <c r="N3391" s="69"/>
      <c r="O3391" s="69"/>
      <c r="P3391" s="69"/>
      <c r="Q3391" s="69"/>
      <c r="R3391" s="69"/>
      <c r="S3391" s="69"/>
      <c r="T3391" s="69"/>
      <c r="U3391" s="69"/>
      <c r="V3391" s="69"/>
      <c r="W3391" s="69"/>
    </row>
    <row r="3392" spans="7:23" x14ac:dyDescent="0.3">
      <c r="G3392" s="69"/>
      <c r="H3392" s="69"/>
      <c r="I3392" s="69"/>
      <c r="J3392" s="69"/>
      <c r="K3392" s="69"/>
      <c r="L3392" s="69"/>
      <c r="M3392" s="69"/>
      <c r="N3392" s="69"/>
      <c r="O3392" s="69"/>
      <c r="P3392" s="69"/>
      <c r="Q3392" s="69"/>
      <c r="R3392" s="69"/>
      <c r="S3392" s="69"/>
      <c r="T3392" s="69"/>
      <c r="U3392" s="69"/>
      <c r="V3392" s="69"/>
      <c r="W3392" s="69"/>
    </row>
    <row r="3393" spans="7:23" x14ac:dyDescent="0.3">
      <c r="G3393" s="69"/>
      <c r="H3393" s="69"/>
      <c r="I3393" s="69"/>
      <c r="J3393" s="69"/>
      <c r="K3393" s="69"/>
      <c r="L3393" s="69"/>
      <c r="M3393" s="69"/>
      <c r="N3393" s="69"/>
      <c r="O3393" s="69"/>
      <c r="P3393" s="69"/>
      <c r="Q3393" s="69"/>
      <c r="R3393" s="69"/>
      <c r="S3393" s="69"/>
      <c r="T3393" s="69"/>
      <c r="U3393" s="69"/>
      <c r="V3393" s="69"/>
      <c r="W3393" s="69"/>
    </row>
    <row r="3394" spans="7:23" x14ac:dyDescent="0.3">
      <c r="G3394" s="69"/>
      <c r="H3394" s="69"/>
      <c r="I3394" s="69"/>
      <c r="J3394" s="69"/>
      <c r="K3394" s="69"/>
      <c r="L3394" s="69"/>
      <c r="M3394" s="69"/>
      <c r="N3394" s="69"/>
      <c r="O3394" s="69"/>
      <c r="P3394" s="69"/>
      <c r="Q3394" s="69"/>
      <c r="R3394" s="69"/>
      <c r="S3394" s="69"/>
      <c r="T3394" s="69"/>
      <c r="U3394" s="69"/>
      <c r="V3394" s="69"/>
      <c r="W3394" s="69"/>
    </row>
    <row r="3395" spans="7:23" x14ac:dyDescent="0.3">
      <c r="G3395" s="69"/>
      <c r="H3395" s="69"/>
      <c r="I3395" s="69"/>
      <c r="J3395" s="69"/>
      <c r="K3395" s="69"/>
      <c r="L3395" s="69"/>
      <c r="M3395" s="69"/>
      <c r="N3395" s="69"/>
      <c r="O3395" s="69"/>
      <c r="P3395" s="69"/>
      <c r="Q3395" s="69"/>
      <c r="R3395" s="69"/>
      <c r="S3395" s="69"/>
      <c r="T3395" s="69"/>
      <c r="U3395" s="69"/>
      <c r="V3395" s="69"/>
      <c r="W3395" s="69"/>
    </row>
    <row r="3396" spans="7:23" x14ac:dyDescent="0.3">
      <c r="G3396" s="69"/>
      <c r="H3396" s="69"/>
      <c r="I3396" s="69"/>
      <c r="J3396" s="69"/>
      <c r="K3396" s="69"/>
      <c r="L3396" s="69"/>
      <c r="M3396" s="69"/>
      <c r="N3396" s="69"/>
      <c r="O3396" s="69"/>
      <c r="P3396" s="69"/>
      <c r="Q3396" s="69"/>
      <c r="R3396" s="69"/>
      <c r="S3396" s="69"/>
      <c r="T3396" s="69"/>
      <c r="U3396" s="69"/>
      <c r="V3396" s="69"/>
      <c r="W3396" s="69"/>
    </row>
    <row r="3397" spans="7:23" x14ac:dyDescent="0.3">
      <c r="G3397" s="69"/>
      <c r="H3397" s="69"/>
      <c r="I3397" s="69"/>
      <c r="J3397" s="69"/>
      <c r="K3397" s="69"/>
      <c r="L3397" s="69"/>
      <c r="M3397" s="69"/>
      <c r="N3397" s="69"/>
      <c r="O3397" s="69"/>
      <c r="P3397" s="69"/>
      <c r="Q3397" s="69"/>
      <c r="R3397" s="69"/>
      <c r="S3397" s="69"/>
      <c r="T3397" s="69"/>
      <c r="U3397" s="69"/>
      <c r="V3397" s="69"/>
      <c r="W3397" s="69"/>
    </row>
    <row r="3398" spans="7:23" x14ac:dyDescent="0.3">
      <c r="G3398" s="69"/>
      <c r="H3398" s="69"/>
      <c r="I3398" s="69"/>
      <c r="J3398" s="69"/>
      <c r="K3398" s="69"/>
      <c r="L3398" s="69"/>
      <c r="M3398" s="69"/>
      <c r="N3398" s="69"/>
      <c r="O3398" s="69"/>
      <c r="P3398" s="69"/>
      <c r="Q3398" s="69"/>
      <c r="R3398" s="69"/>
      <c r="S3398" s="69"/>
      <c r="T3398" s="69"/>
      <c r="U3398" s="69"/>
      <c r="V3398" s="69"/>
      <c r="W3398" s="69"/>
    </row>
    <row r="3399" spans="7:23" x14ac:dyDescent="0.3">
      <c r="G3399" s="69"/>
      <c r="H3399" s="69"/>
      <c r="I3399" s="69"/>
      <c r="J3399" s="69"/>
      <c r="K3399" s="69"/>
      <c r="L3399" s="69"/>
      <c r="M3399" s="69"/>
      <c r="N3399" s="69"/>
      <c r="O3399" s="69"/>
      <c r="P3399" s="69"/>
      <c r="Q3399" s="69"/>
      <c r="R3399" s="69"/>
      <c r="S3399" s="69"/>
      <c r="T3399" s="69"/>
      <c r="U3399" s="69"/>
      <c r="V3399" s="69"/>
      <c r="W3399" s="69"/>
    </row>
    <row r="3400" spans="7:23" x14ac:dyDescent="0.3">
      <c r="G3400" s="69"/>
      <c r="H3400" s="69"/>
      <c r="I3400" s="69"/>
      <c r="J3400" s="69"/>
      <c r="K3400" s="69"/>
      <c r="L3400" s="69"/>
      <c r="M3400" s="69"/>
      <c r="N3400" s="69"/>
      <c r="O3400" s="69"/>
      <c r="P3400" s="69"/>
      <c r="Q3400" s="69"/>
      <c r="R3400" s="69"/>
      <c r="S3400" s="69"/>
      <c r="T3400" s="69"/>
      <c r="U3400" s="69"/>
      <c r="V3400" s="69"/>
      <c r="W3400" s="69"/>
    </row>
    <row r="3401" spans="7:23" x14ac:dyDescent="0.3">
      <c r="G3401" s="69"/>
      <c r="H3401" s="69"/>
      <c r="I3401" s="69"/>
      <c r="J3401" s="69"/>
      <c r="K3401" s="69"/>
      <c r="L3401" s="69"/>
      <c r="M3401" s="69"/>
      <c r="N3401" s="69"/>
      <c r="O3401" s="69"/>
      <c r="P3401" s="69"/>
      <c r="Q3401" s="69"/>
      <c r="R3401" s="69"/>
      <c r="S3401" s="69"/>
      <c r="T3401" s="69"/>
      <c r="U3401" s="69"/>
      <c r="V3401" s="69"/>
      <c r="W3401" s="69"/>
    </row>
    <row r="3402" spans="7:23" x14ac:dyDescent="0.3">
      <c r="G3402" s="69"/>
      <c r="H3402" s="69"/>
      <c r="I3402" s="69"/>
      <c r="J3402" s="69"/>
      <c r="K3402" s="69"/>
      <c r="L3402" s="69"/>
      <c r="M3402" s="69"/>
      <c r="N3402" s="69"/>
      <c r="O3402" s="69"/>
      <c r="P3402" s="69"/>
      <c r="Q3402" s="69"/>
      <c r="R3402" s="69"/>
      <c r="S3402" s="69"/>
      <c r="T3402" s="69"/>
      <c r="U3402" s="69"/>
      <c r="V3402" s="69"/>
      <c r="W3402" s="69"/>
    </row>
    <row r="3403" spans="7:23" x14ac:dyDescent="0.3">
      <c r="G3403" s="69"/>
      <c r="H3403" s="69"/>
      <c r="I3403" s="69"/>
      <c r="J3403" s="69"/>
      <c r="K3403" s="69"/>
      <c r="L3403" s="69"/>
      <c r="M3403" s="69"/>
      <c r="N3403" s="69"/>
      <c r="O3403" s="69"/>
      <c r="P3403" s="69"/>
      <c r="Q3403" s="69"/>
      <c r="R3403" s="69"/>
      <c r="S3403" s="69"/>
      <c r="T3403" s="69"/>
      <c r="U3403" s="69"/>
      <c r="V3403" s="69"/>
      <c r="W3403" s="69"/>
    </row>
    <row r="3404" spans="7:23" x14ac:dyDescent="0.3">
      <c r="G3404" s="69"/>
      <c r="H3404" s="69"/>
      <c r="I3404" s="69"/>
      <c r="J3404" s="69"/>
      <c r="K3404" s="69"/>
      <c r="L3404" s="69"/>
      <c r="M3404" s="69"/>
      <c r="N3404" s="69"/>
      <c r="O3404" s="69"/>
      <c r="P3404" s="69"/>
      <c r="Q3404" s="69"/>
      <c r="R3404" s="69"/>
      <c r="S3404" s="69"/>
      <c r="T3404" s="69"/>
      <c r="U3404" s="69"/>
      <c r="V3404" s="69"/>
      <c r="W3404" s="69"/>
    </row>
    <row r="3405" spans="7:23" x14ac:dyDescent="0.3">
      <c r="G3405" s="69"/>
      <c r="H3405" s="69"/>
      <c r="I3405" s="69"/>
      <c r="J3405" s="69"/>
      <c r="K3405" s="69"/>
      <c r="L3405" s="69"/>
      <c r="M3405" s="69"/>
      <c r="N3405" s="69"/>
      <c r="O3405" s="69"/>
      <c r="P3405" s="69"/>
      <c r="Q3405" s="69"/>
      <c r="R3405" s="69"/>
      <c r="S3405" s="69"/>
      <c r="T3405" s="69"/>
      <c r="U3405" s="69"/>
      <c r="V3405" s="69"/>
      <c r="W3405" s="69"/>
    </row>
    <row r="3406" spans="7:23" x14ac:dyDescent="0.3">
      <c r="G3406" s="69"/>
      <c r="H3406" s="69"/>
      <c r="I3406" s="69"/>
      <c r="J3406" s="69"/>
      <c r="K3406" s="69"/>
      <c r="L3406" s="69"/>
      <c r="M3406" s="69"/>
      <c r="N3406" s="69"/>
      <c r="O3406" s="69"/>
      <c r="P3406" s="69"/>
      <c r="Q3406" s="69"/>
      <c r="R3406" s="69"/>
      <c r="S3406" s="69"/>
      <c r="T3406" s="69"/>
      <c r="U3406" s="69"/>
      <c r="V3406" s="69"/>
      <c r="W3406" s="69"/>
    </row>
    <row r="3407" spans="7:23" x14ac:dyDescent="0.3">
      <c r="G3407" s="69"/>
      <c r="H3407" s="69"/>
      <c r="I3407" s="69"/>
      <c r="J3407" s="69"/>
      <c r="K3407" s="69"/>
      <c r="L3407" s="69"/>
      <c r="M3407" s="69"/>
      <c r="N3407" s="69"/>
      <c r="O3407" s="69"/>
      <c r="P3407" s="69"/>
      <c r="Q3407" s="69"/>
      <c r="R3407" s="69"/>
      <c r="S3407" s="69"/>
      <c r="T3407" s="69"/>
      <c r="U3407" s="69"/>
      <c r="V3407" s="69"/>
      <c r="W3407" s="69"/>
    </row>
    <row r="3408" spans="7:23" x14ac:dyDescent="0.3">
      <c r="G3408" s="69"/>
      <c r="H3408" s="69"/>
      <c r="I3408" s="69"/>
      <c r="J3408" s="69"/>
      <c r="K3408" s="69"/>
      <c r="L3408" s="69"/>
      <c r="M3408" s="69"/>
      <c r="N3408" s="69"/>
      <c r="O3408" s="69"/>
      <c r="P3408" s="69"/>
      <c r="Q3408" s="69"/>
      <c r="R3408" s="69"/>
      <c r="S3408" s="69"/>
      <c r="T3408" s="69"/>
      <c r="U3408" s="69"/>
      <c r="V3408" s="69"/>
      <c r="W3408" s="69"/>
    </row>
    <row r="3409" spans="7:23" x14ac:dyDescent="0.3">
      <c r="G3409" s="69"/>
      <c r="H3409" s="69"/>
      <c r="I3409" s="69"/>
      <c r="J3409" s="69"/>
      <c r="K3409" s="69"/>
      <c r="L3409" s="69"/>
      <c r="M3409" s="69"/>
      <c r="N3409" s="69"/>
      <c r="O3409" s="69"/>
      <c r="P3409" s="69"/>
      <c r="Q3409" s="69"/>
      <c r="R3409" s="69"/>
      <c r="S3409" s="69"/>
      <c r="T3409" s="69"/>
      <c r="U3409" s="69"/>
      <c r="V3409" s="69"/>
      <c r="W3409" s="69"/>
    </row>
    <row r="3410" spans="7:23" x14ac:dyDescent="0.3">
      <c r="G3410" s="69"/>
      <c r="H3410" s="69"/>
      <c r="I3410" s="69"/>
      <c r="J3410" s="69"/>
      <c r="K3410" s="69"/>
      <c r="L3410" s="69"/>
      <c r="M3410" s="69"/>
      <c r="N3410" s="69"/>
      <c r="O3410" s="69"/>
      <c r="P3410" s="69"/>
      <c r="Q3410" s="69"/>
      <c r="R3410" s="69"/>
      <c r="S3410" s="69"/>
      <c r="T3410" s="69"/>
      <c r="U3410" s="69"/>
      <c r="V3410" s="69"/>
      <c r="W3410" s="69"/>
    </row>
    <row r="3411" spans="7:23" x14ac:dyDescent="0.3">
      <c r="G3411" s="69"/>
      <c r="H3411" s="69"/>
      <c r="I3411" s="69"/>
      <c r="J3411" s="69"/>
      <c r="K3411" s="69"/>
      <c r="L3411" s="69"/>
      <c r="M3411" s="69"/>
      <c r="N3411" s="69"/>
      <c r="O3411" s="69"/>
      <c r="P3411" s="69"/>
      <c r="Q3411" s="69"/>
      <c r="R3411" s="69"/>
      <c r="S3411" s="69"/>
      <c r="T3411" s="69"/>
      <c r="U3411" s="69"/>
      <c r="V3411" s="69"/>
      <c r="W3411" s="69"/>
    </row>
    <row r="3412" spans="7:23" x14ac:dyDescent="0.3">
      <c r="G3412" s="69"/>
      <c r="H3412" s="69"/>
      <c r="I3412" s="69"/>
      <c r="J3412" s="69"/>
      <c r="K3412" s="69"/>
      <c r="L3412" s="69"/>
      <c r="M3412" s="69"/>
      <c r="N3412" s="69"/>
      <c r="O3412" s="69"/>
      <c r="P3412" s="69"/>
      <c r="Q3412" s="69"/>
      <c r="R3412" s="69"/>
      <c r="S3412" s="69"/>
      <c r="T3412" s="69"/>
      <c r="U3412" s="69"/>
      <c r="V3412" s="69"/>
      <c r="W3412" s="69"/>
    </row>
    <row r="3413" spans="7:23" x14ac:dyDescent="0.3">
      <c r="G3413" s="69"/>
      <c r="H3413" s="69"/>
      <c r="I3413" s="69"/>
      <c r="J3413" s="69"/>
      <c r="K3413" s="69"/>
      <c r="L3413" s="69"/>
      <c r="M3413" s="69"/>
      <c r="N3413" s="69"/>
      <c r="O3413" s="69"/>
      <c r="P3413" s="69"/>
      <c r="Q3413" s="69"/>
      <c r="R3413" s="69"/>
      <c r="S3413" s="69"/>
      <c r="T3413" s="69"/>
      <c r="U3413" s="69"/>
      <c r="V3413" s="69"/>
      <c r="W3413" s="69"/>
    </row>
    <row r="3414" spans="7:23" x14ac:dyDescent="0.3">
      <c r="G3414" s="69"/>
      <c r="H3414" s="69"/>
      <c r="I3414" s="69"/>
      <c r="J3414" s="69"/>
      <c r="K3414" s="69"/>
      <c r="L3414" s="69"/>
      <c r="M3414" s="69"/>
      <c r="N3414" s="69"/>
      <c r="O3414" s="69"/>
      <c r="P3414" s="69"/>
      <c r="Q3414" s="69"/>
      <c r="R3414" s="69"/>
      <c r="S3414" s="69"/>
      <c r="T3414" s="69"/>
      <c r="U3414" s="69"/>
      <c r="V3414" s="69"/>
      <c r="W3414" s="69"/>
    </row>
    <row r="3415" spans="7:23" x14ac:dyDescent="0.3">
      <c r="G3415" s="69"/>
      <c r="H3415" s="69"/>
      <c r="I3415" s="69"/>
      <c r="J3415" s="69"/>
      <c r="K3415" s="69"/>
      <c r="L3415" s="69"/>
      <c r="M3415" s="69"/>
      <c r="N3415" s="69"/>
      <c r="O3415" s="69"/>
      <c r="P3415" s="69"/>
      <c r="Q3415" s="69"/>
      <c r="R3415" s="69"/>
      <c r="S3415" s="69"/>
      <c r="T3415" s="69"/>
      <c r="U3415" s="69"/>
      <c r="V3415" s="69"/>
      <c r="W3415" s="69"/>
    </row>
    <row r="3416" spans="7:23" x14ac:dyDescent="0.3">
      <c r="G3416" s="69"/>
      <c r="H3416" s="69"/>
      <c r="I3416" s="69"/>
      <c r="J3416" s="69"/>
      <c r="K3416" s="69"/>
      <c r="L3416" s="69"/>
      <c r="M3416" s="69"/>
      <c r="N3416" s="69"/>
      <c r="O3416" s="69"/>
      <c r="P3416" s="69"/>
      <c r="Q3416" s="69"/>
      <c r="R3416" s="69"/>
      <c r="S3416" s="69"/>
      <c r="T3416" s="69"/>
      <c r="U3416" s="69"/>
      <c r="V3416" s="69"/>
      <c r="W3416" s="69"/>
    </row>
    <row r="3417" spans="7:23" x14ac:dyDescent="0.3">
      <c r="G3417" s="69"/>
      <c r="H3417" s="69"/>
      <c r="I3417" s="69"/>
      <c r="J3417" s="69"/>
      <c r="K3417" s="69"/>
      <c r="L3417" s="69"/>
      <c r="M3417" s="69"/>
      <c r="N3417" s="69"/>
      <c r="O3417" s="69"/>
      <c r="P3417" s="69"/>
      <c r="Q3417" s="69"/>
      <c r="R3417" s="69"/>
      <c r="S3417" s="69"/>
      <c r="T3417" s="69"/>
      <c r="U3417" s="69"/>
      <c r="V3417" s="69"/>
      <c r="W3417" s="69"/>
    </row>
    <row r="3418" spans="7:23" x14ac:dyDescent="0.3">
      <c r="G3418" s="69"/>
      <c r="H3418" s="69"/>
      <c r="I3418" s="69"/>
      <c r="J3418" s="69"/>
      <c r="K3418" s="69"/>
      <c r="L3418" s="69"/>
      <c r="M3418" s="69"/>
      <c r="N3418" s="69"/>
      <c r="O3418" s="69"/>
      <c r="P3418" s="69"/>
      <c r="Q3418" s="69"/>
      <c r="R3418" s="69"/>
      <c r="S3418" s="69"/>
      <c r="T3418" s="69"/>
      <c r="U3418" s="69"/>
      <c r="V3418" s="69"/>
      <c r="W3418" s="69"/>
    </row>
    <row r="3419" spans="7:23" x14ac:dyDescent="0.3">
      <c r="G3419" s="69"/>
      <c r="H3419" s="69"/>
      <c r="I3419" s="69"/>
      <c r="J3419" s="69"/>
      <c r="K3419" s="69"/>
      <c r="L3419" s="69"/>
      <c r="M3419" s="69"/>
      <c r="N3419" s="69"/>
      <c r="O3419" s="69"/>
      <c r="P3419" s="69"/>
      <c r="Q3419" s="69"/>
      <c r="R3419" s="69"/>
      <c r="S3419" s="69"/>
      <c r="T3419" s="69"/>
      <c r="U3419" s="69"/>
      <c r="V3419" s="69"/>
      <c r="W3419" s="69"/>
    </row>
    <row r="3420" spans="7:23" x14ac:dyDescent="0.3">
      <c r="G3420" s="69"/>
      <c r="H3420" s="69"/>
      <c r="I3420" s="69"/>
      <c r="J3420" s="69"/>
      <c r="K3420" s="69"/>
      <c r="L3420" s="69"/>
      <c r="M3420" s="69"/>
      <c r="N3420" s="69"/>
      <c r="O3420" s="69"/>
      <c r="P3420" s="69"/>
      <c r="Q3420" s="69"/>
      <c r="R3420" s="69"/>
      <c r="S3420" s="69"/>
      <c r="T3420" s="69"/>
      <c r="U3420" s="69"/>
      <c r="V3420" s="69"/>
      <c r="W3420" s="69"/>
    </row>
    <row r="3421" spans="7:23" x14ac:dyDescent="0.3">
      <c r="G3421" s="69"/>
      <c r="H3421" s="69"/>
      <c r="I3421" s="69"/>
      <c r="J3421" s="69"/>
      <c r="K3421" s="69"/>
      <c r="L3421" s="69"/>
      <c r="M3421" s="69"/>
      <c r="N3421" s="69"/>
      <c r="O3421" s="69"/>
      <c r="P3421" s="69"/>
      <c r="Q3421" s="69"/>
      <c r="R3421" s="69"/>
      <c r="S3421" s="69"/>
      <c r="T3421" s="69"/>
      <c r="U3421" s="69"/>
      <c r="V3421" s="69"/>
      <c r="W3421" s="69"/>
    </row>
    <row r="3422" spans="7:23" x14ac:dyDescent="0.3">
      <c r="G3422" s="69"/>
      <c r="H3422" s="69"/>
      <c r="I3422" s="69"/>
      <c r="J3422" s="69"/>
      <c r="K3422" s="69"/>
      <c r="L3422" s="69"/>
      <c r="M3422" s="69"/>
      <c r="N3422" s="69"/>
      <c r="O3422" s="69"/>
      <c r="P3422" s="69"/>
      <c r="Q3422" s="69"/>
      <c r="R3422" s="69"/>
      <c r="S3422" s="69"/>
      <c r="T3422" s="69"/>
      <c r="U3422" s="69"/>
      <c r="V3422" s="69"/>
      <c r="W3422" s="69"/>
    </row>
    <row r="3423" spans="7:23" x14ac:dyDescent="0.3">
      <c r="G3423" s="69"/>
      <c r="H3423" s="69"/>
      <c r="I3423" s="69"/>
      <c r="J3423" s="69"/>
      <c r="K3423" s="69"/>
      <c r="L3423" s="69"/>
      <c r="M3423" s="69"/>
      <c r="N3423" s="69"/>
      <c r="O3423" s="69"/>
      <c r="P3423" s="69"/>
      <c r="Q3423" s="69"/>
      <c r="R3423" s="69"/>
      <c r="S3423" s="69"/>
      <c r="T3423" s="69"/>
      <c r="U3423" s="69"/>
      <c r="V3423" s="69"/>
      <c r="W3423" s="69"/>
    </row>
    <row r="3424" spans="7:23" x14ac:dyDescent="0.3">
      <c r="G3424" s="69"/>
      <c r="H3424" s="69"/>
      <c r="I3424" s="69"/>
      <c r="J3424" s="69"/>
      <c r="K3424" s="69"/>
      <c r="L3424" s="69"/>
      <c r="M3424" s="69"/>
      <c r="N3424" s="69"/>
      <c r="O3424" s="69"/>
      <c r="P3424" s="69"/>
      <c r="Q3424" s="69"/>
      <c r="R3424" s="69"/>
      <c r="S3424" s="69"/>
      <c r="T3424" s="69"/>
      <c r="U3424" s="69"/>
      <c r="V3424" s="69"/>
      <c r="W3424" s="69"/>
    </row>
    <row r="3425" spans="7:23" x14ac:dyDescent="0.3">
      <c r="G3425" s="69"/>
      <c r="H3425" s="69"/>
      <c r="I3425" s="69"/>
      <c r="J3425" s="69"/>
      <c r="K3425" s="69"/>
      <c r="L3425" s="69"/>
      <c r="M3425" s="69"/>
      <c r="N3425" s="69"/>
      <c r="O3425" s="69"/>
      <c r="P3425" s="69"/>
      <c r="Q3425" s="69"/>
      <c r="R3425" s="69"/>
      <c r="S3425" s="69"/>
      <c r="T3425" s="69"/>
      <c r="U3425" s="69"/>
      <c r="V3425" s="69"/>
      <c r="W3425" s="69"/>
    </row>
    <row r="3426" spans="7:23" x14ac:dyDescent="0.3">
      <c r="G3426" s="69"/>
      <c r="H3426" s="69"/>
      <c r="I3426" s="69"/>
      <c r="J3426" s="69"/>
      <c r="K3426" s="69"/>
      <c r="L3426" s="69"/>
      <c r="M3426" s="69"/>
      <c r="N3426" s="69"/>
      <c r="O3426" s="69"/>
      <c r="P3426" s="69"/>
      <c r="Q3426" s="69"/>
      <c r="R3426" s="69"/>
      <c r="S3426" s="69"/>
      <c r="T3426" s="69"/>
      <c r="U3426" s="69"/>
      <c r="V3426" s="69"/>
      <c r="W3426" s="69"/>
    </row>
    <row r="3427" spans="7:23" x14ac:dyDescent="0.3">
      <c r="G3427" s="69"/>
      <c r="H3427" s="69"/>
      <c r="I3427" s="69"/>
      <c r="J3427" s="69"/>
      <c r="K3427" s="69"/>
      <c r="L3427" s="69"/>
      <c r="M3427" s="69"/>
      <c r="N3427" s="69"/>
      <c r="O3427" s="69"/>
      <c r="P3427" s="69"/>
      <c r="Q3427" s="69"/>
      <c r="R3427" s="69"/>
      <c r="S3427" s="69"/>
      <c r="T3427" s="69"/>
      <c r="U3427" s="69"/>
      <c r="V3427" s="69"/>
      <c r="W3427" s="69"/>
    </row>
    <row r="3428" spans="7:23" x14ac:dyDescent="0.3">
      <c r="G3428" s="69"/>
      <c r="H3428" s="69"/>
      <c r="I3428" s="69"/>
      <c r="J3428" s="69"/>
      <c r="K3428" s="69"/>
      <c r="L3428" s="69"/>
      <c r="M3428" s="69"/>
      <c r="N3428" s="69"/>
      <c r="O3428" s="69"/>
      <c r="P3428" s="69"/>
      <c r="Q3428" s="69"/>
      <c r="R3428" s="69"/>
      <c r="S3428" s="69"/>
      <c r="T3428" s="69"/>
      <c r="U3428" s="69"/>
      <c r="V3428" s="69"/>
      <c r="W3428" s="69"/>
    </row>
    <row r="3429" spans="7:23" x14ac:dyDescent="0.3">
      <c r="G3429" s="69"/>
      <c r="H3429" s="69"/>
      <c r="I3429" s="69"/>
      <c r="J3429" s="69"/>
      <c r="K3429" s="69"/>
      <c r="L3429" s="69"/>
      <c r="M3429" s="69"/>
      <c r="N3429" s="69"/>
      <c r="O3429" s="69"/>
      <c r="P3429" s="69"/>
      <c r="Q3429" s="69"/>
      <c r="R3429" s="69"/>
      <c r="S3429" s="69"/>
      <c r="T3429" s="69"/>
      <c r="U3429" s="69"/>
      <c r="V3429" s="69"/>
      <c r="W3429" s="69"/>
    </row>
    <row r="3430" spans="7:23" x14ac:dyDescent="0.3">
      <c r="G3430" s="69"/>
      <c r="H3430" s="69"/>
      <c r="I3430" s="69"/>
      <c r="J3430" s="69"/>
      <c r="K3430" s="69"/>
      <c r="L3430" s="69"/>
      <c r="M3430" s="69"/>
      <c r="N3430" s="69"/>
      <c r="O3430" s="69"/>
      <c r="P3430" s="69"/>
      <c r="Q3430" s="69"/>
      <c r="R3430" s="69"/>
      <c r="S3430" s="69"/>
      <c r="T3430" s="69"/>
      <c r="U3430" s="69"/>
      <c r="V3430" s="69"/>
      <c r="W3430" s="69"/>
    </row>
    <row r="3431" spans="7:23" x14ac:dyDescent="0.3">
      <c r="G3431" s="69"/>
      <c r="H3431" s="69"/>
      <c r="I3431" s="69"/>
      <c r="J3431" s="69"/>
      <c r="K3431" s="69"/>
      <c r="L3431" s="69"/>
      <c r="M3431" s="69"/>
      <c r="N3431" s="69"/>
      <c r="O3431" s="69"/>
      <c r="P3431" s="69"/>
      <c r="Q3431" s="69"/>
      <c r="R3431" s="69"/>
      <c r="S3431" s="69"/>
      <c r="T3431" s="69"/>
      <c r="U3431" s="69"/>
      <c r="V3431" s="69"/>
      <c r="W3431" s="69"/>
    </row>
    <row r="3432" spans="7:23" x14ac:dyDescent="0.3">
      <c r="G3432" s="69"/>
      <c r="H3432" s="69"/>
      <c r="I3432" s="69"/>
      <c r="J3432" s="69"/>
      <c r="K3432" s="69"/>
      <c r="L3432" s="69"/>
      <c r="M3432" s="69"/>
      <c r="N3432" s="69"/>
      <c r="O3432" s="69"/>
      <c r="P3432" s="69"/>
      <c r="Q3432" s="69"/>
      <c r="R3432" s="69"/>
      <c r="S3432" s="69"/>
      <c r="T3432" s="69"/>
      <c r="U3432" s="69"/>
      <c r="V3432" s="69"/>
      <c r="W3432" s="69"/>
    </row>
    <row r="3433" spans="7:23" x14ac:dyDescent="0.3">
      <c r="G3433" s="69"/>
      <c r="H3433" s="69"/>
      <c r="I3433" s="69"/>
      <c r="J3433" s="69"/>
      <c r="K3433" s="69"/>
      <c r="L3433" s="69"/>
      <c r="M3433" s="69"/>
      <c r="N3433" s="69"/>
      <c r="O3433" s="69"/>
      <c r="P3433" s="69"/>
      <c r="Q3433" s="69"/>
      <c r="R3433" s="69"/>
      <c r="S3433" s="69"/>
      <c r="T3433" s="69"/>
      <c r="U3433" s="69"/>
      <c r="V3433" s="69"/>
      <c r="W3433" s="69"/>
    </row>
    <row r="3434" spans="7:23" x14ac:dyDescent="0.3">
      <c r="G3434" s="69"/>
      <c r="H3434" s="69"/>
      <c r="I3434" s="69"/>
      <c r="J3434" s="69"/>
      <c r="K3434" s="69"/>
      <c r="L3434" s="69"/>
      <c r="M3434" s="69"/>
      <c r="N3434" s="69"/>
      <c r="O3434" s="69"/>
      <c r="P3434" s="69"/>
      <c r="Q3434" s="69"/>
      <c r="R3434" s="69"/>
      <c r="S3434" s="69"/>
      <c r="T3434" s="69"/>
      <c r="U3434" s="69"/>
      <c r="V3434" s="69"/>
      <c r="W3434" s="69"/>
    </row>
    <row r="3435" spans="7:23" x14ac:dyDescent="0.3">
      <c r="G3435" s="69"/>
      <c r="H3435" s="69"/>
      <c r="I3435" s="69"/>
      <c r="J3435" s="69"/>
      <c r="K3435" s="69"/>
      <c r="L3435" s="69"/>
      <c r="M3435" s="69"/>
      <c r="N3435" s="69"/>
      <c r="O3435" s="69"/>
      <c r="P3435" s="69"/>
      <c r="Q3435" s="69"/>
      <c r="R3435" s="69"/>
      <c r="S3435" s="69"/>
      <c r="T3435" s="69"/>
      <c r="U3435" s="69"/>
      <c r="V3435" s="69"/>
      <c r="W3435" s="69"/>
    </row>
    <row r="3436" spans="7:23" x14ac:dyDescent="0.3">
      <c r="G3436" s="69"/>
      <c r="H3436" s="69"/>
      <c r="I3436" s="69"/>
      <c r="J3436" s="69"/>
      <c r="K3436" s="69"/>
      <c r="L3436" s="69"/>
      <c r="M3436" s="69"/>
      <c r="N3436" s="69"/>
      <c r="O3436" s="69"/>
      <c r="P3436" s="69"/>
      <c r="Q3436" s="69"/>
      <c r="R3436" s="69"/>
      <c r="S3436" s="69"/>
      <c r="T3436" s="69"/>
      <c r="U3436" s="69"/>
      <c r="V3436" s="69"/>
      <c r="W3436" s="69"/>
    </row>
    <row r="3437" spans="7:23" x14ac:dyDescent="0.3">
      <c r="G3437" s="69"/>
      <c r="H3437" s="69"/>
      <c r="I3437" s="69"/>
      <c r="J3437" s="69"/>
      <c r="K3437" s="69"/>
      <c r="L3437" s="69"/>
      <c r="M3437" s="69"/>
      <c r="N3437" s="69"/>
      <c r="O3437" s="69"/>
      <c r="P3437" s="69"/>
      <c r="Q3437" s="69"/>
      <c r="R3437" s="69"/>
      <c r="S3437" s="69"/>
      <c r="T3437" s="69"/>
      <c r="U3437" s="69"/>
      <c r="V3437" s="69"/>
      <c r="W3437" s="69"/>
    </row>
    <row r="3438" spans="7:23" x14ac:dyDescent="0.3">
      <c r="G3438" s="69"/>
      <c r="H3438" s="69"/>
      <c r="I3438" s="69"/>
      <c r="J3438" s="69"/>
      <c r="K3438" s="69"/>
      <c r="L3438" s="69"/>
      <c r="M3438" s="69"/>
      <c r="N3438" s="69"/>
      <c r="O3438" s="69"/>
      <c r="P3438" s="69"/>
      <c r="Q3438" s="69"/>
      <c r="R3438" s="69"/>
      <c r="S3438" s="69"/>
      <c r="T3438" s="69"/>
      <c r="U3438" s="69"/>
      <c r="V3438" s="69"/>
      <c r="W3438" s="69"/>
    </row>
    <row r="3439" spans="7:23" x14ac:dyDescent="0.3">
      <c r="G3439" s="69"/>
      <c r="H3439" s="69"/>
      <c r="I3439" s="69"/>
      <c r="J3439" s="69"/>
      <c r="K3439" s="69"/>
      <c r="L3439" s="69"/>
      <c r="M3439" s="69"/>
      <c r="N3439" s="69"/>
      <c r="O3439" s="69"/>
      <c r="P3439" s="69"/>
      <c r="Q3439" s="69"/>
      <c r="R3439" s="69"/>
      <c r="S3439" s="69"/>
      <c r="T3439" s="69"/>
      <c r="U3439" s="69"/>
      <c r="V3439" s="69"/>
      <c r="W3439" s="69"/>
    </row>
    <row r="3440" spans="7:23" x14ac:dyDescent="0.3">
      <c r="G3440" s="69"/>
      <c r="H3440" s="69"/>
      <c r="I3440" s="69"/>
      <c r="J3440" s="69"/>
      <c r="K3440" s="69"/>
      <c r="L3440" s="69"/>
      <c r="M3440" s="69"/>
      <c r="N3440" s="69"/>
      <c r="O3440" s="69"/>
      <c r="P3440" s="69"/>
      <c r="Q3440" s="69"/>
      <c r="R3440" s="69"/>
      <c r="S3440" s="69"/>
      <c r="T3440" s="69"/>
      <c r="U3440" s="69"/>
      <c r="V3440" s="69"/>
      <c r="W3440" s="69"/>
    </row>
    <row r="3441" spans="7:23" x14ac:dyDescent="0.3">
      <c r="G3441" s="69"/>
      <c r="H3441" s="69"/>
      <c r="I3441" s="69"/>
      <c r="J3441" s="69"/>
      <c r="K3441" s="69"/>
      <c r="L3441" s="69"/>
      <c r="M3441" s="69"/>
      <c r="N3441" s="69"/>
      <c r="O3441" s="69"/>
      <c r="P3441" s="69"/>
      <c r="Q3441" s="69"/>
      <c r="R3441" s="69"/>
      <c r="S3441" s="69"/>
      <c r="T3441" s="69"/>
      <c r="U3441" s="69"/>
      <c r="V3441" s="69"/>
      <c r="W3441" s="69"/>
    </row>
    <row r="3442" spans="7:23" x14ac:dyDescent="0.3">
      <c r="G3442" s="69"/>
      <c r="H3442" s="69"/>
      <c r="I3442" s="69"/>
      <c r="J3442" s="69"/>
      <c r="K3442" s="69"/>
      <c r="L3442" s="69"/>
      <c r="M3442" s="69"/>
      <c r="N3442" s="69"/>
      <c r="O3442" s="69"/>
      <c r="P3442" s="69"/>
      <c r="Q3442" s="69"/>
      <c r="R3442" s="69"/>
      <c r="S3442" s="69"/>
      <c r="T3442" s="69"/>
      <c r="U3442" s="69"/>
      <c r="V3442" s="69"/>
      <c r="W3442" s="69"/>
    </row>
    <row r="3443" spans="7:23" x14ac:dyDescent="0.3">
      <c r="G3443" s="69"/>
      <c r="H3443" s="69"/>
      <c r="I3443" s="69"/>
      <c r="J3443" s="69"/>
      <c r="K3443" s="69"/>
      <c r="L3443" s="69"/>
      <c r="M3443" s="69"/>
      <c r="N3443" s="69"/>
      <c r="O3443" s="69"/>
      <c r="P3443" s="69"/>
      <c r="Q3443" s="69"/>
      <c r="R3443" s="69"/>
      <c r="S3443" s="69"/>
      <c r="T3443" s="69"/>
      <c r="U3443" s="69"/>
      <c r="V3443" s="69"/>
      <c r="W3443" s="69"/>
    </row>
    <row r="3444" spans="7:23" x14ac:dyDescent="0.3">
      <c r="G3444" s="69"/>
      <c r="H3444" s="69"/>
      <c r="I3444" s="69"/>
      <c r="J3444" s="69"/>
      <c r="K3444" s="69"/>
      <c r="L3444" s="69"/>
      <c r="M3444" s="69"/>
      <c r="N3444" s="69"/>
      <c r="O3444" s="69"/>
      <c r="P3444" s="69"/>
      <c r="Q3444" s="69"/>
      <c r="R3444" s="69"/>
      <c r="S3444" s="69"/>
      <c r="T3444" s="69"/>
      <c r="U3444" s="69"/>
      <c r="V3444" s="69"/>
      <c r="W3444" s="69"/>
    </row>
    <row r="3445" spans="7:23" x14ac:dyDescent="0.3">
      <c r="G3445" s="69"/>
      <c r="H3445" s="69"/>
      <c r="I3445" s="69"/>
      <c r="J3445" s="69"/>
      <c r="K3445" s="69"/>
      <c r="L3445" s="69"/>
      <c r="M3445" s="69"/>
      <c r="N3445" s="69"/>
      <c r="O3445" s="69"/>
      <c r="P3445" s="69"/>
      <c r="Q3445" s="69"/>
      <c r="R3445" s="69"/>
      <c r="S3445" s="69"/>
      <c r="T3445" s="69"/>
      <c r="U3445" s="69"/>
      <c r="V3445" s="69"/>
      <c r="W3445" s="69"/>
    </row>
    <row r="3446" spans="7:23" x14ac:dyDescent="0.3">
      <c r="G3446" s="69"/>
      <c r="H3446" s="69"/>
      <c r="I3446" s="69"/>
      <c r="J3446" s="69"/>
      <c r="K3446" s="69"/>
      <c r="L3446" s="69"/>
      <c r="M3446" s="69"/>
      <c r="N3446" s="69"/>
      <c r="O3446" s="69"/>
      <c r="P3446" s="69"/>
      <c r="Q3446" s="69"/>
      <c r="R3446" s="69"/>
      <c r="S3446" s="69"/>
      <c r="T3446" s="69"/>
      <c r="U3446" s="69"/>
      <c r="V3446" s="69"/>
      <c r="W3446" s="69"/>
    </row>
    <row r="3447" spans="7:23" x14ac:dyDescent="0.3">
      <c r="G3447" s="69"/>
      <c r="H3447" s="69"/>
      <c r="I3447" s="69"/>
      <c r="J3447" s="69"/>
      <c r="K3447" s="69"/>
      <c r="L3447" s="69"/>
      <c r="M3447" s="69"/>
      <c r="N3447" s="69"/>
      <c r="O3447" s="69"/>
      <c r="P3447" s="69"/>
      <c r="Q3447" s="69"/>
      <c r="R3447" s="69"/>
      <c r="S3447" s="69"/>
      <c r="T3447" s="69"/>
      <c r="U3447" s="69"/>
      <c r="V3447" s="69"/>
      <c r="W3447" s="69"/>
    </row>
    <row r="3448" spans="7:23" x14ac:dyDescent="0.3">
      <c r="G3448" s="69"/>
      <c r="H3448" s="69"/>
      <c r="I3448" s="69"/>
      <c r="J3448" s="69"/>
      <c r="K3448" s="69"/>
      <c r="L3448" s="69"/>
      <c r="M3448" s="69"/>
      <c r="N3448" s="69"/>
      <c r="O3448" s="69"/>
      <c r="P3448" s="69"/>
      <c r="Q3448" s="69"/>
      <c r="R3448" s="69"/>
      <c r="S3448" s="69"/>
      <c r="T3448" s="69"/>
      <c r="U3448" s="69"/>
      <c r="V3448" s="69"/>
      <c r="W3448" s="69"/>
    </row>
    <row r="3449" spans="7:23" x14ac:dyDescent="0.3">
      <c r="G3449" s="69"/>
      <c r="H3449" s="69"/>
      <c r="I3449" s="69"/>
      <c r="J3449" s="69"/>
      <c r="K3449" s="69"/>
      <c r="L3449" s="69"/>
      <c r="M3449" s="69"/>
      <c r="N3449" s="69"/>
      <c r="O3449" s="69"/>
      <c r="P3449" s="69"/>
      <c r="Q3449" s="69"/>
      <c r="R3449" s="69"/>
      <c r="S3449" s="69"/>
      <c r="T3449" s="69"/>
      <c r="U3449" s="69"/>
      <c r="V3449" s="69"/>
      <c r="W3449" s="69"/>
    </row>
    <row r="3450" spans="7:23" x14ac:dyDescent="0.3">
      <c r="G3450" s="69"/>
      <c r="H3450" s="69"/>
      <c r="I3450" s="69"/>
      <c r="J3450" s="69"/>
      <c r="K3450" s="69"/>
      <c r="L3450" s="69"/>
      <c r="M3450" s="69"/>
      <c r="N3450" s="69"/>
      <c r="O3450" s="69"/>
      <c r="P3450" s="69"/>
      <c r="Q3450" s="69"/>
      <c r="R3450" s="69"/>
      <c r="S3450" s="69"/>
      <c r="T3450" s="69"/>
      <c r="U3450" s="69"/>
      <c r="V3450" s="69"/>
      <c r="W3450" s="69"/>
    </row>
    <row r="3451" spans="7:23" x14ac:dyDescent="0.3">
      <c r="G3451" s="69"/>
      <c r="H3451" s="69"/>
      <c r="I3451" s="69"/>
      <c r="J3451" s="69"/>
      <c r="K3451" s="69"/>
      <c r="L3451" s="69"/>
      <c r="M3451" s="69"/>
      <c r="N3451" s="69"/>
      <c r="O3451" s="69"/>
      <c r="P3451" s="69"/>
      <c r="Q3451" s="69"/>
      <c r="R3451" s="69"/>
      <c r="S3451" s="69"/>
      <c r="T3451" s="69"/>
      <c r="U3451" s="69"/>
      <c r="V3451" s="69"/>
      <c r="W3451" s="69"/>
    </row>
    <row r="3452" spans="7:23" x14ac:dyDescent="0.3">
      <c r="G3452" s="69"/>
      <c r="H3452" s="69"/>
      <c r="I3452" s="69"/>
      <c r="J3452" s="69"/>
      <c r="K3452" s="69"/>
      <c r="L3452" s="69"/>
      <c r="M3452" s="69"/>
      <c r="N3452" s="69"/>
      <c r="O3452" s="69"/>
      <c r="P3452" s="69"/>
      <c r="Q3452" s="69"/>
      <c r="R3452" s="69"/>
      <c r="S3452" s="69"/>
      <c r="T3452" s="69"/>
      <c r="U3452" s="69"/>
      <c r="V3452" s="69"/>
      <c r="W3452" s="69"/>
    </row>
    <row r="3453" spans="7:23" x14ac:dyDescent="0.3">
      <c r="G3453" s="69"/>
      <c r="H3453" s="69"/>
      <c r="I3453" s="69"/>
      <c r="J3453" s="69"/>
      <c r="K3453" s="69"/>
      <c r="L3453" s="69"/>
      <c r="M3453" s="69"/>
      <c r="N3453" s="69"/>
      <c r="O3453" s="69"/>
      <c r="P3453" s="69"/>
      <c r="Q3453" s="69"/>
      <c r="R3453" s="69"/>
      <c r="S3453" s="69"/>
      <c r="T3453" s="69"/>
      <c r="U3453" s="69"/>
      <c r="V3453" s="69"/>
      <c r="W3453" s="69"/>
    </row>
    <row r="3454" spans="7:23" x14ac:dyDescent="0.3">
      <c r="G3454" s="69"/>
      <c r="H3454" s="69"/>
      <c r="I3454" s="69"/>
      <c r="J3454" s="69"/>
      <c r="K3454" s="69"/>
      <c r="L3454" s="69"/>
      <c r="M3454" s="69"/>
      <c r="N3454" s="69"/>
      <c r="O3454" s="69"/>
      <c r="P3454" s="69"/>
      <c r="Q3454" s="69"/>
      <c r="R3454" s="69"/>
      <c r="S3454" s="69"/>
      <c r="T3454" s="69"/>
      <c r="U3454" s="69"/>
      <c r="V3454" s="69"/>
      <c r="W3454" s="69"/>
    </row>
    <row r="3455" spans="7:23" x14ac:dyDescent="0.3">
      <c r="G3455" s="69"/>
      <c r="H3455" s="69"/>
      <c r="I3455" s="69"/>
      <c r="J3455" s="69"/>
      <c r="K3455" s="69"/>
      <c r="L3455" s="69"/>
      <c r="M3455" s="69"/>
      <c r="N3455" s="69"/>
      <c r="O3455" s="69"/>
      <c r="P3455" s="69"/>
      <c r="Q3455" s="69"/>
      <c r="R3455" s="69"/>
      <c r="S3455" s="69"/>
      <c r="T3455" s="69"/>
      <c r="U3455" s="69"/>
      <c r="V3455" s="69"/>
      <c r="W3455" s="69"/>
    </row>
    <row r="3456" spans="7:23" x14ac:dyDescent="0.3">
      <c r="G3456" s="69"/>
      <c r="H3456" s="69"/>
      <c r="I3456" s="69"/>
      <c r="J3456" s="69"/>
      <c r="K3456" s="69"/>
      <c r="L3456" s="69"/>
      <c r="M3456" s="69"/>
      <c r="N3456" s="69"/>
      <c r="O3456" s="69"/>
      <c r="P3456" s="69"/>
      <c r="Q3456" s="69"/>
      <c r="R3456" s="69"/>
      <c r="S3456" s="69"/>
      <c r="T3456" s="69"/>
      <c r="U3456" s="69"/>
      <c r="V3456" s="69"/>
      <c r="W3456" s="69"/>
    </row>
    <row r="3457" spans="7:23" x14ac:dyDescent="0.3">
      <c r="G3457" s="69"/>
      <c r="H3457" s="69"/>
      <c r="I3457" s="69"/>
      <c r="J3457" s="69"/>
      <c r="K3457" s="69"/>
      <c r="L3457" s="69"/>
      <c r="M3457" s="69"/>
      <c r="N3457" s="69"/>
      <c r="O3457" s="69"/>
      <c r="P3457" s="69"/>
      <c r="Q3457" s="69"/>
      <c r="R3457" s="69"/>
      <c r="S3457" s="69"/>
      <c r="T3457" s="69"/>
      <c r="U3457" s="69"/>
      <c r="V3457" s="69"/>
      <c r="W3457" s="69"/>
    </row>
    <row r="3458" spans="7:23" x14ac:dyDescent="0.3">
      <c r="G3458" s="69"/>
      <c r="H3458" s="69"/>
      <c r="I3458" s="69"/>
      <c r="J3458" s="69"/>
      <c r="K3458" s="69"/>
      <c r="L3458" s="69"/>
      <c r="M3458" s="69"/>
      <c r="N3458" s="69"/>
      <c r="O3458" s="69"/>
      <c r="P3458" s="69"/>
      <c r="Q3458" s="69"/>
      <c r="R3458" s="69"/>
      <c r="S3458" s="69"/>
      <c r="T3458" s="69"/>
      <c r="U3458" s="69"/>
      <c r="V3458" s="69"/>
      <c r="W3458" s="69"/>
    </row>
    <row r="3459" spans="7:23" x14ac:dyDescent="0.3">
      <c r="G3459" s="69"/>
      <c r="H3459" s="69"/>
      <c r="I3459" s="69"/>
      <c r="J3459" s="69"/>
      <c r="K3459" s="69"/>
      <c r="L3459" s="69"/>
      <c r="M3459" s="69"/>
      <c r="N3459" s="69"/>
      <c r="O3459" s="69"/>
      <c r="P3459" s="69"/>
      <c r="Q3459" s="69"/>
      <c r="R3459" s="69"/>
      <c r="S3459" s="69"/>
      <c r="T3459" s="69"/>
      <c r="U3459" s="69"/>
      <c r="V3459" s="69"/>
      <c r="W3459" s="69"/>
    </row>
    <row r="3460" spans="7:23" x14ac:dyDescent="0.3">
      <c r="G3460" s="69"/>
      <c r="H3460" s="69"/>
      <c r="I3460" s="69"/>
      <c r="J3460" s="69"/>
      <c r="K3460" s="69"/>
      <c r="L3460" s="69"/>
      <c r="M3460" s="69"/>
      <c r="N3460" s="69"/>
      <c r="O3460" s="69"/>
      <c r="P3460" s="69"/>
      <c r="Q3460" s="69"/>
      <c r="R3460" s="69"/>
      <c r="S3460" s="69"/>
      <c r="T3460" s="69"/>
      <c r="U3460" s="69"/>
      <c r="V3460" s="69"/>
      <c r="W3460" s="69"/>
    </row>
    <row r="3461" spans="7:23" x14ac:dyDescent="0.3">
      <c r="G3461" s="69"/>
      <c r="H3461" s="69"/>
      <c r="I3461" s="69"/>
      <c r="J3461" s="69"/>
      <c r="K3461" s="69"/>
      <c r="L3461" s="69"/>
      <c r="M3461" s="69"/>
      <c r="N3461" s="69"/>
      <c r="O3461" s="69"/>
      <c r="P3461" s="69"/>
      <c r="Q3461" s="69"/>
      <c r="R3461" s="69"/>
      <c r="S3461" s="69"/>
      <c r="T3461" s="69"/>
      <c r="U3461" s="69"/>
      <c r="V3461" s="69"/>
      <c r="W3461" s="69"/>
    </row>
    <row r="3462" spans="7:23" x14ac:dyDescent="0.3">
      <c r="G3462" s="69"/>
      <c r="H3462" s="69"/>
      <c r="I3462" s="69"/>
      <c r="J3462" s="69"/>
      <c r="K3462" s="69"/>
      <c r="L3462" s="69"/>
      <c r="M3462" s="69"/>
      <c r="N3462" s="69"/>
      <c r="O3462" s="69"/>
      <c r="P3462" s="69"/>
      <c r="Q3462" s="69"/>
      <c r="R3462" s="69"/>
      <c r="S3462" s="69"/>
      <c r="T3462" s="69"/>
      <c r="U3462" s="69"/>
      <c r="V3462" s="69"/>
      <c r="W3462" s="69"/>
    </row>
    <row r="3463" spans="7:23" x14ac:dyDescent="0.3">
      <c r="G3463" s="69"/>
      <c r="H3463" s="69"/>
      <c r="I3463" s="69"/>
      <c r="J3463" s="69"/>
      <c r="K3463" s="69"/>
      <c r="L3463" s="69"/>
      <c r="M3463" s="69"/>
      <c r="N3463" s="69"/>
      <c r="O3463" s="69"/>
      <c r="P3463" s="69"/>
      <c r="Q3463" s="69"/>
      <c r="R3463" s="69"/>
      <c r="S3463" s="69"/>
      <c r="T3463" s="69"/>
      <c r="U3463" s="69"/>
      <c r="V3463" s="69"/>
      <c r="W3463" s="69"/>
    </row>
    <row r="3464" spans="7:23" x14ac:dyDescent="0.3">
      <c r="G3464" s="69"/>
      <c r="H3464" s="69"/>
      <c r="I3464" s="69"/>
      <c r="J3464" s="69"/>
      <c r="K3464" s="69"/>
      <c r="L3464" s="69"/>
      <c r="M3464" s="69"/>
      <c r="N3464" s="69"/>
      <c r="O3464" s="69"/>
      <c r="P3464" s="69"/>
      <c r="Q3464" s="69"/>
      <c r="R3464" s="69"/>
      <c r="S3464" s="69"/>
      <c r="T3464" s="69"/>
      <c r="U3464" s="69"/>
      <c r="V3464" s="69"/>
      <c r="W3464" s="69"/>
    </row>
    <row r="3465" spans="7:23" x14ac:dyDescent="0.3">
      <c r="G3465" s="69"/>
      <c r="H3465" s="69"/>
      <c r="I3465" s="69"/>
      <c r="J3465" s="69"/>
      <c r="K3465" s="69"/>
      <c r="L3465" s="69"/>
      <c r="M3465" s="69"/>
      <c r="N3465" s="69"/>
      <c r="O3465" s="69"/>
      <c r="P3465" s="69"/>
      <c r="Q3465" s="69"/>
      <c r="R3465" s="69"/>
      <c r="S3465" s="69"/>
      <c r="T3465" s="69"/>
      <c r="U3465" s="69"/>
      <c r="V3465" s="69"/>
      <c r="W3465" s="69"/>
    </row>
    <row r="3466" spans="7:23" x14ac:dyDescent="0.3">
      <c r="G3466" s="69"/>
      <c r="H3466" s="69"/>
      <c r="I3466" s="69"/>
      <c r="J3466" s="69"/>
      <c r="K3466" s="69"/>
      <c r="L3466" s="69"/>
      <c r="M3466" s="69"/>
      <c r="N3466" s="69"/>
      <c r="O3466" s="69"/>
      <c r="P3466" s="69"/>
      <c r="Q3466" s="69"/>
      <c r="R3466" s="69"/>
      <c r="S3466" s="69"/>
      <c r="T3466" s="69"/>
      <c r="U3466" s="69"/>
      <c r="V3466" s="69"/>
      <c r="W3466" s="69"/>
    </row>
    <row r="3467" spans="7:23" x14ac:dyDescent="0.3">
      <c r="G3467" s="69"/>
      <c r="H3467" s="69"/>
      <c r="I3467" s="69"/>
      <c r="J3467" s="69"/>
      <c r="K3467" s="69"/>
      <c r="L3467" s="69"/>
      <c r="M3467" s="69"/>
      <c r="N3467" s="69"/>
      <c r="O3467" s="69"/>
      <c r="P3467" s="69"/>
      <c r="Q3467" s="69"/>
      <c r="R3467" s="69"/>
      <c r="S3467" s="69"/>
      <c r="T3467" s="69"/>
      <c r="U3467" s="69"/>
      <c r="V3467" s="69"/>
      <c r="W3467" s="69"/>
    </row>
    <row r="3468" spans="7:23" x14ac:dyDescent="0.3">
      <c r="G3468" s="69"/>
      <c r="H3468" s="69"/>
      <c r="I3468" s="69"/>
      <c r="J3468" s="69"/>
      <c r="K3468" s="69"/>
      <c r="L3468" s="69"/>
      <c r="M3468" s="69"/>
      <c r="N3468" s="69"/>
      <c r="O3468" s="69"/>
      <c r="P3468" s="69"/>
      <c r="Q3468" s="69"/>
      <c r="R3468" s="69"/>
      <c r="S3468" s="69"/>
      <c r="T3468" s="69"/>
      <c r="U3468" s="69"/>
      <c r="V3468" s="69"/>
      <c r="W3468" s="69"/>
    </row>
    <row r="3469" spans="7:23" x14ac:dyDescent="0.3">
      <c r="G3469" s="69"/>
      <c r="H3469" s="69"/>
      <c r="I3469" s="69"/>
      <c r="J3469" s="69"/>
      <c r="K3469" s="69"/>
      <c r="L3469" s="69"/>
      <c r="M3469" s="69"/>
      <c r="N3469" s="69"/>
      <c r="O3469" s="69"/>
      <c r="P3469" s="69"/>
      <c r="Q3469" s="69"/>
      <c r="R3469" s="69"/>
      <c r="S3469" s="69"/>
      <c r="T3469" s="69"/>
      <c r="U3469" s="69"/>
      <c r="V3469" s="69"/>
      <c r="W3469" s="69"/>
    </row>
    <row r="3470" spans="7:23" x14ac:dyDescent="0.3">
      <c r="G3470" s="69"/>
      <c r="H3470" s="69"/>
      <c r="I3470" s="69"/>
      <c r="J3470" s="69"/>
      <c r="K3470" s="69"/>
      <c r="L3470" s="69"/>
      <c r="M3470" s="69"/>
      <c r="N3470" s="69"/>
      <c r="O3470" s="69"/>
      <c r="P3470" s="69"/>
      <c r="Q3470" s="69"/>
      <c r="R3470" s="69"/>
      <c r="S3470" s="69"/>
      <c r="T3470" s="69"/>
      <c r="U3470" s="69"/>
      <c r="V3470" s="69"/>
      <c r="W3470" s="69"/>
    </row>
    <row r="3471" spans="7:23" x14ac:dyDescent="0.3">
      <c r="G3471" s="69"/>
      <c r="H3471" s="69"/>
      <c r="I3471" s="69"/>
      <c r="J3471" s="69"/>
      <c r="K3471" s="69"/>
      <c r="L3471" s="69"/>
      <c r="M3471" s="69"/>
      <c r="N3471" s="69"/>
      <c r="O3471" s="69"/>
      <c r="P3471" s="69"/>
      <c r="Q3471" s="69"/>
      <c r="R3471" s="69"/>
      <c r="S3471" s="69"/>
      <c r="T3471" s="69"/>
      <c r="U3471" s="69"/>
      <c r="V3471" s="69"/>
      <c r="W3471" s="69"/>
    </row>
    <row r="3472" spans="7:23" x14ac:dyDescent="0.3">
      <c r="G3472" s="69"/>
      <c r="H3472" s="69"/>
      <c r="I3472" s="69"/>
      <c r="J3472" s="69"/>
      <c r="K3472" s="69"/>
      <c r="L3472" s="69"/>
      <c r="M3472" s="69"/>
      <c r="N3472" s="69"/>
      <c r="O3472" s="69"/>
      <c r="P3472" s="69"/>
      <c r="Q3472" s="69"/>
      <c r="R3472" s="69"/>
      <c r="S3472" s="69"/>
      <c r="T3472" s="69"/>
      <c r="U3472" s="69"/>
      <c r="V3472" s="69"/>
      <c r="W3472" s="69"/>
    </row>
    <row r="3473" spans="7:23" x14ac:dyDescent="0.3">
      <c r="G3473" s="69"/>
      <c r="H3473" s="69"/>
      <c r="I3473" s="69"/>
      <c r="J3473" s="69"/>
      <c r="K3473" s="69"/>
      <c r="L3473" s="69"/>
      <c r="M3473" s="69"/>
      <c r="N3473" s="69"/>
      <c r="O3473" s="69"/>
      <c r="P3473" s="69"/>
      <c r="Q3473" s="69"/>
      <c r="R3473" s="69"/>
      <c r="S3473" s="69"/>
      <c r="T3473" s="69"/>
      <c r="U3473" s="69"/>
      <c r="V3473" s="69"/>
      <c r="W3473" s="69"/>
    </row>
    <row r="3474" spans="7:23" x14ac:dyDescent="0.3">
      <c r="G3474" s="69"/>
      <c r="H3474" s="69"/>
      <c r="I3474" s="69"/>
      <c r="J3474" s="69"/>
      <c r="K3474" s="69"/>
      <c r="L3474" s="69"/>
      <c r="M3474" s="69"/>
      <c r="N3474" s="69"/>
      <c r="O3474" s="69"/>
      <c r="P3474" s="69"/>
      <c r="Q3474" s="69"/>
      <c r="R3474" s="69"/>
      <c r="S3474" s="69"/>
      <c r="T3474" s="69"/>
      <c r="U3474" s="69"/>
      <c r="V3474" s="69"/>
      <c r="W3474" s="69"/>
    </row>
    <row r="3475" spans="7:23" x14ac:dyDescent="0.3">
      <c r="G3475" s="69"/>
      <c r="H3475" s="69"/>
      <c r="I3475" s="69"/>
      <c r="J3475" s="69"/>
      <c r="K3475" s="69"/>
      <c r="L3475" s="69"/>
      <c r="M3475" s="69"/>
      <c r="N3475" s="69"/>
      <c r="O3475" s="69"/>
      <c r="P3475" s="69"/>
      <c r="Q3475" s="69"/>
      <c r="R3475" s="69"/>
      <c r="S3475" s="69"/>
      <c r="T3475" s="69"/>
      <c r="U3475" s="69"/>
      <c r="V3475" s="69"/>
      <c r="W3475" s="69"/>
    </row>
    <row r="3476" spans="7:23" x14ac:dyDescent="0.3">
      <c r="G3476" s="69"/>
      <c r="H3476" s="69"/>
      <c r="I3476" s="69"/>
      <c r="J3476" s="69"/>
      <c r="K3476" s="69"/>
      <c r="L3476" s="69"/>
      <c r="M3476" s="69"/>
      <c r="N3476" s="69"/>
      <c r="O3476" s="69"/>
      <c r="P3476" s="69"/>
      <c r="Q3476" s="69"/>
      <c r="R3476" s="69"/>
      <c r="S3476" s="69"/>
      <c r="T3476" s="69"/>
      <c r="U3476" s="69"/>
      <c r="V3476" s="69"/>
      <c r="W3476" s="69"/>
    </row>
    <row r="3477" spans="7:23" x14ac:dyDescent="0.3">
      <c r="G3477" s="69"/>
      <c r="H3477" s="69"/>
      <c r="I3477" s="69"/>
      <c r="J3477" s="69"/>
      <c r="K3477" s="69"/>
      <c r="L3477" s="69"/>
      <c r="M3477" s="69"/>
      <c r="N3477" s="69"/>
      <c r="O3477" s="69"/>
      <c r="P3477" s="69"/>
      <c r="Q3477" s="69"/>
      <c r="R3477" s="69"/>
      <c r="S3477" s="69"/>
      <c r="T3477" s="69"/>
      <c r="U3477" s="69"/>
      <c r="V3477" s="69"/>
      <c r="W3477" s="69"/>
    </row>
    <row r="3478" spans="7:23" x14ac:dyDescent="0.3">
      <c r="G3478" s="69"/>
      <c r="H3478" s="69"/>
      <c r="I3478" s="69"/>
      <c r="J3478" s="69"/>
      <c r="K3478" s="69"/>
      <c r="L3478" s="69"/>
      <c r="M3478" s="69"/>
      <c r="N3478" s="69"/>
      <c r="O3478" s="69"/>
      <c r="P3478" s="69"/>
      <c r="Q3478" s="69"/>
      <c r="R3478" s="69"/>
      <c r="S3478" s="69"/>
      <c r="T3478" s="69"/>
      <c r="U3478" s="69"/>
      <c r="V3478" s="69"/>
      <c r="W3478" s="69"/>
    </row>
    <row r="3479" spans="7:23" x14ac:dyDescent="0.3">
      <c r="G3479" s="69"/>
      <c r="H3479" s="69"/>
      <c r="I3479" s="69"/>
      <c r="J3479" s="69"/>
      <c r="K3479" s="69"/>
      <c r="L3479" s="69"/>
      <c r="M3479" s="69"/>
      <c r="N3479" s="69"/>
      <c r="O3479" s="69"/>
      <c r="P3479" s="69"/>
      <c r="Q3479" s="69"/>
      <c r="R3479" s="69"/>
      <c r="S3479" s="69"/>
      <c r="T3479" s="69"/>
      <c r="U3479" s="69"/>
      <c r="V3479" s="69"/>
      <c r="W3479" s="69"/>
    </row>
    <row r="3480" spans="7:23" x14ac:dyDescent="0.3">
      <c r="G3480" s="69"/>
      <c r="H3480" s="69"/>
      <c r="I3480" s="69"/>
      <c r="J3480" s="69"/>
      <c r="K3480" s="69"/>
      <c r="L3480" s="69"/>
      <c r="M3480" s="69"/>
      <c r="N3480" s="69"/>
      <c r="O3480" s="69"/>
      <c r="P3480" s="69"/>
      <c r="Q3480" s="69"/>
      <c r="R3480" s="69"/>
      <c r="S3480" s="69"/>
      <c r="T3480" s="69"/>
      <c r="U3480" s="69"/>
      <c r="V3480" s="69"/>
      <c r="W3480" s="69"/>
    </row>
    <row r="3481" spans="7:23" x14ac:dyDescent="0.3">
      <c r="G3481" s="69"/>
      <c r="H3481" s="69"/>
      <c r="I3481" s="69"/>
      <c r="J3481" s="69"/>
      <c r="K3481" s="69"/>
      <c r="L3481" s="69"/>
      <c r="M3481" s="69"/>
      <c r="N3481" s="69"/>
      <c r="O3481" s="69"/>
      <c r="P3481" s="69"/>
      <c r="Q3481" s="69"/>
      <c r="R3481" s="69"/>
      <c r="S3481" s="69"/>
      <c r="T3481" s="69"/>
      <c r="U3481" s="69"/>
      <c r="V3481" s="69"/>
      <c r="W3481" s="69"/>
    </row>
    <row r="3482" spans="7:23" x14ac:dyDescent="0.3">
      <c r="G3482" s="69"/>
      <c r="H3482" s="69"/>
      <c r="I3482" s="69"/>
      <c r="J3482" s="69"/>
      <c r="K3482" s="69"/>
      <c r="L3482" s="69"/>
      <c r="M3482" s="69"/>
      <c r="N3482" s="69"/>
      <c r="O3482" s="69"/>
      <c r="P3482" s="69"/>
      <c r="Q3482" s="69"/>
      <c r="R3482" s="69"/>
      <c r="S3482" s="69"/>
      <c r="T3482" s="69"/>
      <c r="U3482" s="69"/>
      <c r="V3482" s="69"/>
      <c r="W3482" s="69"/>
    </row>
    <row r="3483" spans="7:23" x14ac:dyDescent="0.3">
      <c r="G3483" s="69"/>
      <c r="H3483" s="69"/>
      <c r="I3483" s="69"/>
      <c r="J3483" s="69"/>
      <c r="K3483" s="69"/>
      <c r="L3483" s="69"/>
      <c r="M3483" s="69"/>
      <c r="N3483" s="69"/>
      <c r="O3483" s="69"/>
      <c r="P3483" s="69"/>
      <c r="Q3483" s="69"/>
      <c r="R3483" s="69"/>
      <c r="S3483" s="69"/>
      <c r="T3483" s="69"/>
      <c r="U3483" s="69"/>
      <c r="V3483" s="69"/>
      <c r="W3483" s="69"/>
    </row>
    <row r="3484" spans="7:23" x14ac:dyDescent="0.3">
      <c r="G3484" s="69"/>
      <c r="H3484" s="69"/>
      <c r="I3484" s="69"/>
      <c r="J3484" s="69"/>
      <c r="K3484" s="69"/>
      <c r="L3484" s="69"/>
      <c r="M3484" s="69"/>
      <c r="N3484" s="69"/>
      <c r="O3484" s="69"/>
      <c r="P3484" s="69"/>
      <c r="Q3484" s="69"/>
      <c r="R3484" s="69"/>
      <c r="S3484" s="69"/>
      <c r="T3484" s="69"/>
      <c r="U3484" s="69"/>
      <c r="V3484" s="69"/>
      <c r="W3484" s="69"/>
    </row>
    <row r="3485" spans="7:23" x14ac:dyDescent="0.3">
      <c r="G3485" s="69"/>
      <c r="H3485" s="69"/>
      <c r="I3485" s="69"/>
      <c r="J3485" s="69"/>
      <c r="K3485" s="69"/>
      <c r="L3485" s="69"/>
      <c r="M3485" s="69"/>
      <c r="N3485" s="69"/>
      <c r="O3485" s="69"/>
      <c r="P3485" s="69"/>
      <c r="Q3485" s="69"/>
      <c r="R3485" s="69"/>
      <c r="S3485" s="69"/>
      <c r="T3485" s="69"/>
      <c r="U3485" s="69"/>
      <c r="V3485" s="69"/>
      <c r="W3485" s="69"/>
    </row>
    <row r="3486" spans="7:23" x14ac:dyDescent="0.3">
      <c r="G3486" s="69"/>
      <c r="H3486" s="69"/>
      <c r="I3486" s="69"/>
      <c r="J3486" s="69"/>
      <c r="K3486" s="69"/>
      <c r="L3486" s="69"/>
      <c r="M3486" s="69"/>
      <c r="N3486" s="69"/>
      <c r="O3486" s="69"/>
      <c r="P3486" s="69"/>
      <c r="Q3486" s="69"/>
      <c r="R3486" s="69"/>
      <c r="S3486" s="69"/>
      <c r="T3486" s="69"/>
      <c r="U3486" s="69"/>
      <c r="V3486" s="69"/>
      <c r="W3486" s="69"/>
    </row>
    <row r="3487" spans="7:23" x14ac:dyDescent="0.3">
      <c r="G3487" s="69"/>
      <c r="H3487" s="69"/>
      <c r="I3487" s="69"/>
      <c r="J3487" s="69"/>
      <c r="K3487" s="69"/>
      <c r="L3487" s="69"/>
      <c r="M3487" s="69"/>
      <c r="N3487" s="69"/>
      <c r="O3487" s="69"/>
      <c r="P3487" s="69"/>
      <c r="Q3487" s="69"/>
      <c r="R3487" s="69"/>
      <c r="S3487" s="69"/>
      <c r="T3487" s="69"/>
      <c r="U3487" s="69"/>
      <c r="V3487" s="69"/>
      <c r="W3487" s="69"/>
    </row>
    <row r="3488" spans="7:23" x14ac:dyDescent="0.3">
      <c r="G3488" s="69"/>
      <c r="H3488" s="69"/>
      <c r="I3488" s="69"/>
      <c r="J3488" s="69"/>
      <c r="K3488" s="69"/>
      <c r="L3488" s="69"/>
      <c r="M3488" s="69"/>
      <c r="N3488" s="69"/>
      <c r="O3488" s="69"/>
      <c r="P3488" s="69"/>
      <c r="Q3488" s="69"/>
      <c r="R3488" s="69"/>
      <c r="S3488" s="69"/>
      <c r="T3488" s="69"/>
      <c r="U3488" s="69"/>
      <c r="V3488" s="69"/>
      <c r="W3488" s="69"/>
    </row>
    <row r="3489" spans="7:23" x14ac:dyDescent="0.3">
      <c r="G3489" s="69"/>
      <c r="H3489" s="69"/>
      <c r="I3489" s="69"/>
      <c r="J3489" s="69"/>
      <c r="K3489" s="69"/>
      <c r="L3489" s="69"/>
      <c r="M3489" s="69"/>
      <c r="N3489" s="69"/>
      <c r="O3489" s="69"/>
      <c r="P3489" s="69"/>
      <c r="Q3489" s="69"/>
      <c r="R3489" s="69"/>
      <c r="S3489" s="69"/>
      <c r="T3489" s="69"/>
      <c r="U3489" s="69"/>
      <c r="V3489" s="69"/>
      <c r="W3489" s="69"/>
    </row>
    <row r="3490" spans="7:23" x14ac:dyDescent="0.3">
      <c r="G3490" s="69"/>
      <c r="H3490" s="69"/>
      <c r="I3490" s="69"/>
      <c r="J3490" s="69"/>
      <c r="K3490" s="69"/>
      <c r="L3490" s="69"/>
      <c r="M3490" s="69"/>
      <c r="N3490" s="69"/>
      <c r="O3490" s="69"/>
      <c r="P3490" s="69"/>
      <c r="Q3490" s="69"/>
      <c r="R3490" s="69"/>
      <c r="S3490" s="69"/>
      <c r="T3490" s="69"/>
      <c r="U3490" s="69"/>
      <c r="V3490" s="69"/>
      <c r="W3490" s="69"/>
    </row>
    <row r="3491" spans="7:23" x14ac:dyDescent="0.3">
      <c r="G3491" s="69"/>
      <c r="H3491" s="69"/>
      <c r="I3491" s="69"/>
      <c r="J3491" s="69"/>
      <c r="K3491" s="69"/>
      <c r="L3491" s="69"/>
      <c r="M3491" s="69"/>
      <c r="N3491" s="69"/>
      <c r="O3491" s="69"/>
      <c r="P3491" s="69"/>
      <c r="Q3491" s="69"/>
      <c r="R3491" s="69"/>
      <c r="S3491" s="69"/>
      <c r="T3491" s="69"/>
      <c r="U3491" s="69"/>
      <c r="V3491" s="69"/>
      <c r="W3491" s="69"/>
    </row>
    <row r="3492" spans="7:23" x14ac:dyDescent="0.3">
      <c r="G3492" s="69"/>
      <c r="H3492" s="69"/>
      <c r="I3492" s="69"/>
      <c r="J3492" s="69"/>
      <c r="K3492" s="69"/>
      <c r="L3492" s="69"/>
      <c r="M3492" s="69"/>
      <c r="N3492" s="69"/>
      <c r="O3492" s="69"/>
      <c r="P3492" s="69"/>
      <c r="Q3492" s="69"/>
      <c r="R3492" s="69"/>
      <c r="S3492" s="69"/>
      <c r="T3492" s="69"/>
      <c r="U3492" s="69"/>
      <c r="V3492" s="69"/>
      <c r="W3492" s="69"/>
    </row>
    <row r="3493" spans="7:23" x14ac:dyDescent="0.3">
      <c r="G3493" s="69"/>
      <c r="H3493" s="69"/>
      <c r="I3493" s="69"/>
      <c r="J3493" s="69"/>
      <c r="K3493" s="69"/>
      <c r="L3493" s="69"/>
      <c r="M3493" s="69"/>
      <c r="N3493" s="69"/>
      <c r="O3493" s="69"/>
      <c r="P3493" s="69"/>
      <c r="Q3493" s="69"/>
      <c r="R3493" s="69"/>
      <c r="S3493" s="69"/>
      <c r="T3493" s="69"/>
      <c r="U3493" s="69"/>
      <c r="V3493" s="69"/>
      <c r="W3493" s="69"/>
    </row>
    <row r="3494" spans="7:23" x14ac:dyDescent="0.3">
      <c r="G3494" s="69"/>
      <c r="H3494" s="69"/>
      <c r="I3494" s="69"/>
      <c r="J3494" s="69"/>
      <c r="K3494" s="69"/>
      <c r="L3494" s="69"/>
      <c r="M3494" s="69"/>
      <c r="N3494" s="69"/>
      <c r="O3494" s="69"/>
      <c r="P3494" s="69"/>
      <c r="Q3494" s="69"/>
      <c r="R3494" s="69"/>
      <c r="S3494" s="69"/>
      <c r="T3494" s="69"/>
      <c r="U3494" s="69"/>
      <c r="V3494" s="69"/>
      <c r="W3494" s="69"/>
    </row>
    <row r="3495" spans="7:23" x14ac:dyDescent="0.3">
      <c r="G3495" s="69"/>
      <c r="H3495" s="69"/>
      <c r="I3495" s="69"/>
      <c r="J3495" s="69"/>
      <c r="K3495" s="69"/>
      <c r="L3495" s="69"/>
      <c r="M3495" s="69"/>
      <c r="N3495" s="69"/>
      <c r="O3495" s="69"/>
      <c r="P3495" s="69"/>
      <c r="Q3495" s="69"/>
      <c r="R3495" s="69"/>
      <c r="S3495" s="69"/>
      <c r="T3495" s="69"/>
      <c r="U3495" s="69"/>
      <c r="V3495" s="69"/>
      <c r="W3495" s="69"/>
    </row>
    <row r="3496" spans="7:23" x14ac:dyDescent="0.3">
      <c r="G3496" s="69"/>
      <c r="H3496" s="69"/>
      <c r="I3496" s="69"/>
      <c r="J3496" s="69"/>
      <c r="K3496" s="69"/>
      <c r="L3496" s="69"/>
      <c r="M3496" s="69"/>
      <c r="N3496" s="69"/>
      <c r="O3496" s="69"/>
      <c r="P3496" s="69"/>
      <c r="Q3496" s="69"/>
      <c r="R3496" s="69"/>
      <c r="S3496" s="69"/>
      <c r="T3496" s="69"/>
      <c r="U3496" s="69"/>
      <c r="V3496" s="69"/>
      <c r="W3496" s="69"/>
    </row>
    <row r="3497" spans="7:23" x14ac:dyDescent="0.3">
      <c r="G3497" s="69"/>
      <c r="H3497" s="69"/>
      <c r="I3497" s="69"/>
      <c r="J3497" s="69"/>
      <c r="K3497" s="69"/>
      <c r="L3497" s="69"/>
      <c r="M3497" s="69"/>
      <c r="N3497" s="69"/>
      <c r="O3497" s="69"/>
      <c r="P3497" s="69"/>
      <c r="Q3497" s="69"/>
      <c r="R3497" s="69"/>
      <c r="S3497" s="69"/>
      <c r="T3497" s="69"/>
      <c r="U3497" s="69"/>
      <c r="V3497" s="69"/>
      <c r="W3497" s="69"/>
    </row>
    <row r="3498" spans="7:23" x14ac:dyDescent="0.3">
      <c r="G3498" s="69"/>
      <c r="H3498" s="69"/>
      <c r="I3498" s="69"/>
      <c r="J3498" s="69"/>
      <c r="K3498" s="69"/>
      <c r="L3498" s="69"/>
      <c r="M3498" s="69"/>
      <c r="N3498" s="69"/>
      <c r="O3498" s="69"/>
      <c r="P3498" s="69"/>
      <c r="Q3498" s="69"/>
      <c r="R3498" s="69"/>
      <c r="S3498" s="69"/>
      <c r="T3498" s="69"/>
      <c r="U3498" s="69"/>
      <c r="V3498" s="69"/>
      <c r="W3498" s="69"/>
    </row>
    <row r="3499" spans="7:23" x14ac:dyDescent="0.3">
      <c r="G3499" s="69"/>
      <c r="H3499" s="69"/>
      <c r="I3499" s="69"/>
      <c r="J3499" s="69"/>
      <c r="K3499" s="69"/>
      <c r="L3499" s="69"/>
      <c r="M3499" s="69"/>
      <c r="N3499" s="69"/>
      <c r="O3499" s="69"/>
      <c r="P3499" s="69"/>
      <c r="Q3499" s="69"/>
      <c r="R3499" s="69"/>
      <c r="S3499" s="69"/>
      <c r="T3499" s="69"/>
      <c r="U3499" s="69"/>
      <c r="V3499" s="69"/>
      <c r="W3499" s="69"/>
    </row>
    <row r="3500" spans="7:23" x14ac:dyDescent="0.3">
      <c r="G3500" s="69"/>
      <c r="H3500" s="69"/>
      <c r="I3500" s="69"/>
      <c r="J3500" s="69"/>
      <c r="K3500" s="69"/>
      <c r="L3500" s="69"/>
      <c r="M3500" s="69"/>
      <c r="N3500" s="69"/>
      <c r="O3500" s="69"/>
      <c r="P3500" s="69"/>
      <c r="Q3500" s="69"/>
      <c r="R3500" s="69"/>
      <c r="S3500" s="69"/>
      <c r="T3500" s="69"/>
      <c r="U3500" s="69"/>
      <c r="V3500" s="69"/>
      <c r="W3500" s="69"/>
    </row>
    <row r="3501" spans="7:23" x14ac:dyDescent="0.3">
      <c r="G3501" s="69"/>
      <c r="H3501" s="69"/>
      <c r="I3501" s="69"/>
      <c r="J3501" s="69"/>
      <c r="K3501" s="69"/>
      <c r="L3501" s="69"/>
      <c r="M3501" s="69"/>
      <c r="N3501" s="69"/>
      <c r="O3501" s="69"/>
      <c r="P3501" s="69"/>
      <c r="Q3501" s="69"/>
      <c r="R3501" s="69"/>
      <c r="S3501" s="69"/>
      <c r="T3501" s="69"/>
      <c r="U3501" s="69"/>
      <c r="V3501" s="69"/>
      <c r="W3501" s="69"/>
    </row>
    <row r="3502" spans="7:23" x14ac:dyDescent="0.3">
      <c r="G3502" s="69"/>
      <c r="H3502" s="69"/>
      <c r="I3502" s="69"/>
      <c r="J3502" s="69"/>
      <c r="K3502" s="69"/>
      <c r="L3502" s="69"/>
      <c r="M3502" s="69"/>
      <c r="N3502" s="69"/>
      <c r="O3502" s="69"/>
      <c r="P3502" s="69"/>
      <c r="Q3502" s="69"/>
      <c r="R3502" s="69"/>
      <c r="S3502" s="69"/>
      <c r="T3502" s="69"/>
      <c r="U3502" s="69"/>
      <c r="V3502" s="69"/>
      <c r="W3502" s="69"/>
    </row>
    <row r="3503" spans="7:23" x14ac:dyDescent="0.3">
      <c r="G3503" s="69"/>
      <c r="H3503" s="69"/>
      <c r="I3503" s="69"/>
      <c r="J3503" s="69"/>
      <c r="K3503" s="69"/>
      <c r="L3503" s="69"/>
      <c r="M3503" s="69"/>
      <c r="N3503" s="69"/>
      <c r="O3503" s="69"/>
      <c r="P3503" s="69"/>
      <c r="Q3503" s="69"/>
      <c r="R3503" s="69"/>
      <c r="S3503" s="69"/>
      <c r="T3503" s="69"/>
      <c r="U3503" s="69"/>
      <c r="V3503" s="69"/>
      <c r="W3503" s="69"/>
    </row>
    <row r="3504" spans="7:23" x14ac:dyDescent="0.3">
      <c r="G3504" s="69"/>
      <c r="H3504" s="69"/>
      <c r="I3504" s="69"/>
      <c r="J3504" s="69"/>
      <c r="K3504" s="69"/>
      <c r="L3504" s="69"/>
      <c r="M3504" s="69"/>
      <c r="N3504" s="69"/>
      <c r="O3504" s="69"/>
      <c r="P3504" s="69"/>
      <c r="Q3504" s="69"/>
      <c r="R3504" s="69"/>
      <c r="S3504" s="69"/>
      <c r="T3504" s="69"/>
      <c r="U3504" s="69"/>
      <c r="V3504" s="69"/>
      <c r="W3504" s="69"/>
    </row>
    <row r="3505" spans="7:23" x14ac:dyDescent="0.3">
      <c r="G3505" s="69"/>
      <c r="H3505" s="69"/>
      <c r="I3505" s="69"/>
      <c r="J3505" s="69"/>
      <c r="K3505" s="69"/>
      <c r="L3505" s="69"/>
      <c r="M3505" s="69"/>
      <c r="N3505" s="69"/>
      <c r="O3505" s="69"/>
      <c r="P3505" s="69"/>
      <c r="Q3505" s="69"/>
      <c r="R3505" s="69"/>
      <c r="S3505" s="69"/>
      <c r="T3505" s="69"/>
      <c r="U3505" s="69"/>
      <c r="V3505" s="69"/>
      <c r="W3505" s="69"/>
    </row>
    <row r="3506" spans="7:23" x14ac:dyDescent="0.3">
      <c r="G3506" s="69"/>
      <c r="H3506" s="69"/>
      <c r="I3506" s="69"/>
      <c r="J3506" s="69"/>
      <c r="K3506" s="69"/>
      <c r="L3506" s="69"/>
      <c r="M3506" s="69"/>
      <c r="N3506" s="69"/>
      <c r="O3506" s="69"/>
      <c r="P3506" s="69"/>
      <c r="Q3506" s="69"/>
      <c r="R3506" s="69"/>
      <c r="S3506" s="69"/>
      <c r="T3506" s="69"/>
      <c r="U3506" s="69"/>
      <c r="V3506" s="69"/>
      <c r="W3506" s="69"/>
    </row>
    <row r="3507" spans="7:23" x14ac:dyDescent="0.3">
      <c r="G3507" s="69"/>
      <c r="H3507" s="69"/>
      <c r="I3507" s="69"/>
      <c r="J3507" s="69"/>
      <c r="K3507" s="69"/>
      <c r="L3507" s="69"/>
      <c r="M3507" s="69"/>
      <c r="N3507" s="69"/>
      <c r="O3507" s="69"/>
      <c r="P3507" s="69"/>
      <c r="Q3507" s="69"/>
      <c r="R3507" s="69"/>
      <c r="S3507" s="69"/>
      <c r="T3507" s="69"/>
      <c r="U3507" s="69"/>
      <c r="V3507" s="69"/>
      <c r="W3507" s="69"/>
    </row>
    <row r="3508" spans="7:23" x14ac:dyDescent="0.3">
      <c r="G3508" s="69"/>
      <c r="H3508" s="69"/>
      <c r="I3508" s="69"/>
      <c r="J3508" s="69"/>
      <c r="K3508" s="69"/>
      <c r="L3508" s="69"/>
      <c r="M3508" s="69"/>
      <c r="N3508" s="69"/>
      <c r="O3508" s="69"/>
      <c r="P3508" s="69"/>
      <c r="Q3508" s="69"/>
      <c r="R3508" s="69"/>
      <c r="S3508" s="69"/>
      <c r="T3508" s="69"/>
      <c r="U3508" s="69"/>
      <c r="V3508" s="69"/>
      <c r="W3508" s="69"/>
    </row>
    <row r="3509" spans="7:23" x14ac:dyDescent="0.3">
      <c r="G3509" s="69"/>
      <c r="H3509" s="69"/>
      <c r="I3509" s="69"/>
      <c r="J3509" s="69"/>
      <c r="K3509" s="69"/>
      <c r="L3509" s="69"/>
      <c r="M3509" s="69"/>
      <c r="N3509" s="69"/>
      <c r="O3509" s="69"/>
      <c r="P3509" s="69"/>
      <c r="Q3509" s="69"/>
      <c r="R3509" s="69"/>
      <c r="S3509" s="69"/>
      <c r="T3509" s="69"/>
      <c r="U3509" s="69"/>
      <c r="V3509" s="69"/>
      <c r="W3509" s="69"/>
    </row>
    <row r="3510" spans="7:23" x14ac:dyDescent="0.3">
      <c r="G3510" s="69"/>
      <c r="H3510" s="69"/>
      <c r="I3510" s="69"/>
      <c r="J3510" s="69"/>
      <c r="K3510" s="69"/>
      <c r="L3510" s="69"/>
      <c r="M3510" s="69"/>
      <c r="N3510" s="69"/>
      <c r="O3510" s="69"/>
      <c r="P3510" s="69"/>
      <c r="Q3510" s="69"/>
      <c r="R3510" s="69"/>
      <c r="S3510" s="69"/>
      <c r="T3510" s="69"/>
      <c r="U3510" s="69"/>
      <c r="V3510" s="69"/>
      <c r="W3510" s="69"/>
    </row>
    <row r="3511" spans="7:23" x14ac:dyDescent="0.3">
      <c r="G3511" s="69"/>
      <c r="H3511" s="69"/>
      <c r="I3511" s="69"/>
      <c r="J3511" s="69"/>
      <c r="K3511" s="69"/>
      <c r="L3511" s="69"/>
      <c r="M3511" s="69"/>
      <c r="N3511" s="69"/>
      <c r="O3511" s="69"/>
      <c r="P3511" s="69"/>
      <c r="Q3511" s="69"/>
      <c r="R3511" s="69"/>
      <c r="S3511" s="69"/>
      <c r="T3511" s="69"/>
      <c r="U3511" s="69"/>
      <c r="V3511" s="69"/>
      <c r="W3511" s="69"/>
    </row>
    <row r="3512" spans="7:23" x14ac:dyDescent="0.3">
      <c r="G3512" s="69"/>
      <c r="H3512" s="69"/>
      <c r="I3512" s="69"/>
      <c r="J3512" s="69"/>
      <c r="K3512" s="69"/>
      <c r="L3512" s="69"/>
      <c r="M3512" s="69"/>
      <c r="N3512" s="69"/>
      <c r="O3512" s="69"/>
      <c r="P3512" s="69"/>
      <c r="Q3512" s="69"/>
      <c r="R3512" s="69"/>
      <c r="S3512" s="69"/>
      <c r="T3512" s="69"/>
      <c r="U3512" s="69"/>
      <c r="V3512" s="69"/>
      <c r="W3512" s="69"/>
    </row>
    <row r="3513" spans="7:23" x14ac:dyDescent="0.3">
      <c r="G3513" s="69"/>
      <c r="H3513" s="69"/>
      <c r="I3513" s="69"/>
      <c r="J3513" s="69"/>
      <c r="K3513" s="69"/>
      <c r="L3513" s="69"/>
      <c r="M3513" s="69"/>
      <c r="N3513" s="69"/>
      <c r="O3513" s="69"/>
      <c r="P3513" s="69"/>
      <c r="Q3513" s="69"/>
      <c r="R3513" s="69"/>
      <c r="S3513" s="69"/>
      <c r="T3513" s="69"/>
      <c r="U3513" s="69"/>
      <c r="V3513" s="69"/>
      <c r="W3513" s="69"/>
    </row>
    <row r="3514" spans="7:23" x14ac:dyDescent="0.3">
      <c r="G3514" s="69"/>
      <c r="H3514" s="69"/>
      <c r="I3514" s="69"/>
      <c r="J3514" s="69"/>
      <c r="K3514" s="69"/>
      <c r="L3514" s="69"/>
      <c r="M3514" s="69"/>
      <c r="N3514" s="69"/>
      <c r="O3514" s="69"/>
      <c r="P3514" s="69"/>
      <c r="Q3514" s="69"/>
      <c r="R3514" s="69"/>
      <c r="S3514" s="69"/>
      <c r="T3514" s="69"/>
      <c r="U3514" s="69"/>
      <c r="V3514" s="69"/>
      <c r="W3514" s="69"/>
    </row>
    <row r="3515" spans="7:23" x14ac:dyDescent="0.3">
      <c r="G3515" s="69"/>
      <c r="H3515" s="69"/>
      <c r="I3515" s="69"/>
      <c r="J3515" s="69"/>
      <c r="K3515" s="69"/>
      <c r="L3515" s="69"/>
      <c r="M3515" s="69"/>
      <c r="N3515" s="69"/>
      <c r="O3515" s="69"/>
      <c r="P3515" s="69"/>
      <c r="Q3515" s="69"/>
      <c r="R3515" s="69"/>
      <c r="S3515" s="69"/>
      <c r="T3515" s="69"/>
      <c r="U3515" s="69"/>
      <c r="V3515" s="69"/>
      <c r="W3515" s="69"/>
    </row>
    <row r="3516" spans="7:23" x14ac:dyDescent="0.3">
      <c r="G3516" s="69"/>
      <c r="H3516" s="69"/>
      <c r="I3516" s="69"/>
      <c r="J3516" s="69"/>
      <c r="K3516" s="69"/>
      <c r="L3516" s="69"/>
      <c r="M3516" s="69"/>
      <c r="N3516" s="69"/>
      <c r="O3516" s="69"/>
      <c r="P3516" s="69"/>
      <c r="Q3516" s="69"/>
      <c r="R3516" s="69"/>
      <c r="S3516" s="69"/>
      <c r="T3516" s="69"/>
      <c r="U3516" s="69"/>
      <c r="V3516" s="69"/>
      <c r="W3516" s="69"/>
    </row>
    <row r="3517" spans="7:23" x14ac:dyDescent="0.3">
      <c r="G3517" s="69"/>
      <c r="H3517" s="69"/>
      <c r="I3517" s="69"/>
      <c r="J3517" s="69"/>
      <c r="K3517" s="69"/>
      <c r="L3517" s="69"/>
      <c r="M3517" s="69"/>
      <c r="N3517" s="69"/>
      <c r="O3517" s="69"/>
      <c r="P3517" s="69"/>
      <c r="Q3517" s="69"/>
      <c r="R3517" s="69"/>
      <c r="S3517" s="69"/>
      <c r="T3517" s="69"/>
      <c r="U3517" s="69"/>
      <c r="V3517" s="69"/>
      <c r="W3517" s="69"/>
    </row>
    <row r="3518" spans="7:23" x14ac:dyDescent="0.3">
      <c r="G3518" s="69"/>
      <c r="H3518" s="69"/>
      <c r="I3518" s="69"/>
      <c r="J3518" s="69"/>
      <c r="K3518" s="69"/>
      <c r="L3518" s="69"/>
      <c r="M3518" s="69"/>
      <c r="N3518" s="69"/>
      <c r="O3518" s="69"/>
      <c r="P3518" s="69"/>
      <c r="Q3518" s="69"/>
      <c r="R3518" s="69"/>
      <c r="S3518" s="69"/>
      <c r="T3518" s="69"/>
      <c r="U3518" s="69"/>
      <c r="V3518" s="69"/>
      <c r="W3518" s="69"/>
    </row>
    <row r="3519" spans="7:23" x14ac:dyDescent="0.3">
      <c r="G3519" s="69"/>
      <c r="H3519" s="69"/>
      <c r="I3519" s="69"/>
      <c r="J3519" s="69"/>
      <c r="K3519" s="69"/>
      <c r="L3519" s="69"/>
      <c r="M3519" s="69"/>
      <c r="N3519" s="69"/>
      <c r="O3519" s="69"/>
      <c r="P3519" s="69"/>
      <c r="Q3519" s="69"/>
      <c r="R3519" s="69"/>
      <c r="S3519" s="69"/>
      <c r="T3519" s="69"/>
      <c r="U3519" s="69"/>
      <c r="V3519" s="69"/>
      <c r="W3519" s="69"/>
    </row>
    <row r="3520" spans="7:23" x14ac:dyDescent="0.3">
      <c r="G3520" s="69"/>
      <c r="H3520" s="69"/>
      <c r="I3520" s="69"/>
      <c r="J3520" s="69"/>
      <c r="K3520" s="69"/>
      <c r="L3520" s="69"/>
      <c r="M3520" s="69"/>
      <c r="N3520" s="69"/>
      <c r="O3520" s="69"/>
      <c r="P3520" s="69"/>
      <c r="Q3520" s="69"/>
      <c r="R3520" s="69"/>
      <c r="S3520" s="69"/>
      <c r="T3520" s="69"/>
      <c r="U3520" s="69"/>
      <c r="V3520" s="69"/>
      <c r="W3520" s="69"/>
    </row>
    <row r="3521" spans="7:23" x14ac:dyDescent="0.3">
      <c r="G3521" s="69"/>
      <c r="H3521" s="69"/>
      <c r="I3521" s="69"/>
      <c r="J3521" s="69"/>
      <c r="K3521" s="69"/>
      <c r="L3521" s="69"/>
      <c r="M3521" s="69"/>
      <c r="N3521" s="69"/>
      <c r="O3521" s="69"/>
      <c r="P3521" s="69"/>
      <c r="Q3521" s="69"/>
      <c r="R3521" s="69"/>
      <c r="S3521" s="69"/>
      <c r="T3521" s="69"/>
      <c r="U3521" s="69"/>
      <c r="V3521" s="69"/>
      <c r="W3521" s="69"/>
    </row>
    <row r="3522" spans="7:23" x14ac:dyDescent="0.3">
      <c r="G3522" s="69"/>
      <c r="H3522" s="69"/>
      <c r="I3522" s="69"/>
      <c r="J3522" s="69"/>
      <c r="K3522" s="69"/>
      <c r="L3522" s="69"/>
      <c r="M3522" s="69"/>
      <c r="N3522" s="69"/>
      <c r="O3522" s="69"/>
      <c r="P3522" s="69"/>
      <c r="Q3522" s="69"/>
      <c r="R3522" s="69"/>
      <c r="S3522" s="69"/>
      <c r="T3522" s="69"/>
      <c r="U3522" s="69"/>
      <c r="V3522" s="69"/>
      <c r="W3522" s="69"/>
    </row>
    <row r="3523" spans="7:23" x14ac:dyDescent="0.3">
      <c r="G3523" s="69"/>
      <c r="H3523" s="69"/>
      <c r="I3523" s="69"/>
      <c r="J3523" s="69"/>
      <c r="K3523" s="69"/>
      <c r="L3523" s="69"/>
      <c r="M3523" s="69"/>
      <c r="N3523" s="69"/>
      <c r="O3523" s="69"/>
      <c r="P3523" s="69"/>
      <c r="Q3523" s="69"/>
      <c r="R3523" s="69"/>
      <c r="S3523" s="69"/>
      <c r="T3523" s="69"/>
      <c r="U3523" s="69"/>
      <c r="V3523" s="69"/>
      <c r="W3523" s="69"/>
    </row>
    <row r="3524" spans="7:23" x14ac:dyDescent="0.3">
      <c r="G3524" s="69"/>
      <c r="H3524" s="69"/>
      <c r="I3524" s="69"/>
      <c r="J3524" s="69"/>
      <c r="K3524" s="69"/>
      <c r="L3524" s="69"/>
      <c r="M3524" s="69"/>
      <c r="N3524" s="69"/>
      <c r="O3524" s="69"/>
      <c r="P3524" s="69"/>
      <c r="Q3524" s="69"/>
      <c r="R3524" s="69"/>
      <c r="S3524" s="69"/>
      <c r="T3524" s="69"/>
      <c r="U3524" s="69"/>
      <c r="V3524" s="69"/>
      <c r="W3524" s="69"/>
    </row>
    <row r="3525" spans="7:23" x14ac:dyDescent="0.3">
      <c r="G3525" s="69"/>
      <c r="H3525" s="69"/>
      <c r="I3525" s="69"/>
      <c r="J3525" s="69"/>
      <c r="K3525" s="69"/>
      <c r="L3525" s="69"/>
      <c r="M3525" s="69"/>
      <c r="N3525" s="69"/>
      <c r="O3525" s="69"/>
      <c r="P3525" s="69"/>
      <c r="Q3525" s="69"/>
      <c r="R3525" s="69"/>
      <c r="S3525" s="69"/>
      <c r="T3525" s="69"/>
      <c r="U3525" s="69"/>
      <c r="V3525" s="69"/>
      <c r="W3525" s="69"/>
    </row>
    <row r="3526" spans="7:23" x14ac:dyDescent="0.3">
      <c r="G3526" s="69"/>
      <c r="H3526" s="69"/>
      <c r="I3526" s="69"/>
      <c r="J3526" s="69"/>
      <c r="K3526" s="69"/>
      <c r="L3526" s="69"/>
      <c r="M3526" s="69"/>
      <c r="N3526" s="69"/>
      <c r="O3526" s="69"/>
      <c r="P3526" s="69"/>
      <c r="Q3526" s="69"/>
      <c r="R3526" s="69"/>
      <c r="S3526" s="69"/>
      <c r="T3526" s="69"/>
      <c r="U3526" s="69"/>
      <c r="V3526" s="69"/>
      <c r="W3526" s="69"/>
    </row>
    <row r="3527" spans="7:23" x14ac:dyDescent="0.3">
      <c r="G3527" s="69"/>
      <c r="H3527" s="69"/>
      <c r="I3527" s="69"/>
      <c r="J3527" s="69"/>
      <c r="K3527" s="69"/>
      <c r="L3527" s="69"/>
      <c r="M3527" s="69"/>
      <c r="N3527" s="69"/>
      <c r="O3527" s="69"/>
      <c r="P3527" s="69"/>
      <c r="Q3527" s="69"/>
      <c r="R3527" s="69"/>
      <c r="S3527" s="69"/>
      <c r="T3527" s="69"/>
      <c r="U3527" s="69"/>
      <c r="V3527" s="69"/>
      <c r="W3527" s="69"/>
    </row>
    <row r="3528" spans="7:23" x14ac:dyDescent="0.3">
      <c r="G3528" s="69"/>
      <c r="H3528" s="69"/>
      <c r="I3528" s="69"/>
      <c r="J3528" s="69"/>
      <c r="K3528" s="69"/>
      <c r="L3528" s="69"/>
      <c r="M3528" s="69"/>
      <c r="N3528" s="69"/>
      <c r="O3528" s="69"/>
      <c r="P3528" s="69"/>
      <c r="Q3528" s="69"/>
      <c r="R3528" s="69"/>
      <c r="S3528" s="69"/>
      <c r="T3528" s="69"/>
      <c r="U3528" s="69"/>
      <c r="V3528" s="69"/>
      <c r="W3528" s="69"/>
    </row>
    <row r="3529" spans="7:23" x14ac:dyDescent="0.3">
      <c r="G3529" s="69"/>
      <c r="H3529" s="69"/>
      <c r="I3529" s="69"/>
      <c r="J3529" s="69"/>
      <c r="K3529" s="69"/>
      <c r="L3529" s="69"/>
      <c r="M3529" s="69"/>
      <c r="N3529" s="69"/>
      <c r="O3529" s="69"/>
      <c r="P3529" s="69"/>
      <c r="Q3529" s="69"/>
      <c r="R3529" s="69"/>
      <c r="S3529" s="69"/>
      <c r="T3529" s="69"/>
      <c r="U3529" s="69"/>
      <c r="V3529" s="69"/>
      <c r="W3529" s="69"/>
    </row>
    <row r="3530" spans="7:23" x14ac:dyDescent="0.3">
      <c r="G3530" s="69"/>
      <c r="H3530" s="69"/>
      <c r="I3530" s="69"/>
      <c r="J3530" s="69"/>
      <c r="K3530" s="69"/>
      <c r="L3530" s="69"/>
      <c r="M3530" s="69"/>
      <c r="N3530" s="69"/>
      <c r="O3530" s="69"/>
      <c r="P3530" s="69"/>
      <c r="Q3530" s="69"/>
      <c r="R3530" s="69"/>
      <c r="S3530" s="69"/>
      <c r="T3530" s="69"/>
      <c r="U3530" s="69"/>
      <c r="V3530" s="69"/>
      <c r="W3530" s="69"/>
    </row>
    <row r="3531" spans="7:23" x14ac:dyDescent="0.3">
      <c r="G3531" s="69"/>
      <c r="H3531" s="69"/>
      <c r="I3531" s="69"/>
      <c r="J3531" s="69"/>
      <c r="K3531" s="69"/>
      <c r="L3531" s="69"/>
      <c r="M3531" s="69"/>
      <c r="N3531" s="69"/>
      <c r="O3531" s="69"/>
      <c r="P3531" s="69"/>
      <c r="Q3531" s="69"/>
      <c r="R3531" s="69"/>
      <c r="S3531" s="69"/>
      <c r="T3531" s="69"/>
      <c r="U3531" s="69"/>
      <c r="V3531" s="69"/>
      <c r="W3531" s="69"/>
    </row>
    <row r="3532" spans="7:23" x14ac:dyDescent="0.3">
      <c r="G3532" s="69"/>
      <c r="H3532" s="69"/>
      <c r="I3532" s="69"/>
      <c r="J3532" s="69"/>
      <c r="K3532" s="69"/>
      <c r="L3532" s="69"/>
      <c r="M3532" s="69"/>
      <c r="N3532" s="69"/>
      <c r="O3532" s="69"/>
      <c r="P3532" s="69"/>
      <c r="Q3532" s="69"/>
      <c r="R3532" s="69"/>
      <c r="S3532" s="69"/>
      <c r="T3532" s="69"/>
      <c r="U3532" s="69"/>
      <c r="V3532" s="69"/>
      <c r="W3532" s="69"/>
    </row>
    <row r="3533" spans="7:23" x14ac:dyDescent="0.3">
      <c r="G3533" s="69"/>
      <c r="H3533" s="69"/>
      <c r="I3533" s="69"/>
      <c r="J3533" s="69"/>
      <c r="K3533" s="69"/>
      <c r="L3533" s="69"/>
      <c r="M3533" s="69"/>
      <c r="N3533" s="69"/>
      <c r="O3533" s="69"/>
      <c r="P3533" s="69"/>
      <c r="Q3533" s="69"/>
      <c r="R3533" s="69"/>
      <c r="S3533" s="69"/>
      <c r="T3533" s="69"/>
      <c r="U3533" s="69"/>
      <c r="V3533" s="69"/>
      <c r="W3533" s="69"/>
    </row>
    <row r="3534" spans="7:23" x14ac:dyDescent="0.3">
      <c r="G3534" s="69"/>
      <c r="H3534" s="69"/>
      <c r="I3534" s="69"/>
      <c r="J3534" s="69"/>
      <c r="K3534" s="69"/>
      <c r="L3534" s="69"/>
      <c r="M3534" s="69"/>
      <c r="N3534" s="69"/>
      <c r="O3534" s="69"/>
      <c r="P3534" s="69"/>
      <c r="Q3534" s="69"/>
      <c r="R3534" s="69"/>
      <c r="S3534" s="69"/>
      <c r="T3534" s="69"/>
      <c r="U3534" s="69"/>
      <c r="V3534" s="69"/>
      <c r="W3534" s="69"/>
    </row>
    <row r="3535" spans="7:23" x14ac:dyDescent="0.3">
      <c r="G3535" s="69"/>
      <c r="H3535" s="69"/>
      <c r="I3535" s="69"/>
      <c r="J3535" s="69"/>
      <c r="K3535" s="69"/>
      <c r="L3535" s="69"/>
      <c r="M3535" s="69"/>
      <c r="N3535" s="69"/>
      <c r="O3535" s="69"/>
      <c r="P3535" s="69"/>
      <c r="Q3535" s="69"/>
      <c r="R3535" s="69"/>
      <c r="S3535" s="69"/>
      <c r="T3535" s="69"/>
      <c r="U3535" s="69"/>
      <c r="V3535" s="69"/>
      <c r="W3535" s="69"/>
    </row>
    <row r="3536" spans="7:23" x14ac:dyDescent="0.3">
      <c r="G3536" s="69"/>
      <c r="H3536" s="69"/>
      <c r="I3536" s="69"/>
      <c r="J3536" s="69"/>
      <c r="K3536" s="69"/>
      <c r="L3536" s="69"/>
      <c r="M3536" s="69"/>
      <c r="N3536" s="69"/>
      <c r="O3536" s="69"/>
      <c r="P3536" s="69"/>
      <c r="Q3536" s="69"/>
      <c r="R3536" s="69"/>
      <c r="S3536" s="69"/>
      <c r="T3536" s="69"/>
      <c r="U3536" s="69"/>
      <c r="V3536" s="69"/>
      <c r="W3536" s="69"/>
    </row>
    <row r="3537" spans="7:23" x14ac:dyDescent="0.3">
      <c r="G3537" s="69"/>
      <c r="H3537" s="69"/>
      <c r="I3537" s="69"/>
      <c r="J3537" s="69"/>
      <c r="K3537" s="69"/>
      <c r="L3537" s="69"/>
      <c r="M3537" s="69"/>
      <c r="N3537" s="69"/>
      <c r="O3537" s="69"/>
      <c r="P3537" s="69"/>
      <c r="Q3537" s="69"/>
      <c r="R3537" s="69"/>
      <c r="S3537" s="69"/>
      <c r="T3537" s="69"/>
      <c r="U3537" s="69"/>
      <c r="V3537" s="69"/>
      <c r="W3537" s="69"/>
    </row>
    <row r="3538" spans="7:23" x14ac:dyDescent="0.3">
      <c r="G3538" s="69"/>
      <c r="H3538" s="69"/>
      <c r="I3538" s="69"/>
      <c r="J3538" s="69"/>
      <c r="K3538" s="69"/>
      <c r="L3538" s="69"/>
      <c r="M3538" s="69"/>
      <c r="N3538" s="69"/>
      <c r="O3538" s="69"/>
      <c r="P3538" s="69"/>
      <c r="Q3538" s="69"/>
      <c r="R3538" s="69"/>
      <c r="S3538" s="69"/>
      <c r="T3538" s="69"/>
      <c r="U3538" s="69"/>
      <c r="V3538" s="69"/>
      <c r="W3538" s="69"/>
    </row>
    <row r="3539" spans="7:23" x14ac:dyDescent="0.3">
      <c r="G3539" s="69"/>
      <c r="H3539" s="69"/>
      <c r="I3539" s="69"/>
      <c r="J3539" s="69"/>
      <c r="K3539" s="69"/>
      <c r="L3539" s="69"/>
      <c r="M3539" s="69"/>
      <c r="N3539" s="69"/>
      <c r="O3539" s="69"/>
      <c r="P3539" s="69"/>
      <c r="Q3539" s="69"/>
      <c r="R3539" s="69"/>
      <c r="S3539" s="69"/>
      <c r="T3539" s="69"/>
      <c r="U3539" s="69"/>
      <c r="V3539" s="69"/>
      <c r="W3539" s="69"/>
    </row>
    <row r="3540" spans="7:23" x14ac:dyDescent="0.3">
      <c r="G3540" s="69"/>
      <c r="H3540" s="69"/>
      <c r="I3540" s="69"/>
      <c r="J3540" s="69"/>
      <c r="K3540" s="69"/>
      <c r="L3540" s="69"/>
      <c r="M3540" s="69"/>
      <c r="N3540" s="69"/>
      <c r="O3540" s="69"/>
      <c r="P3540" s="69"/>
      <c r="Q3540" s="69"/>
      <c r="R3540" s="69"/>
      <c r="S3540" s="69"/>
      <c r="T3540" s="69"/>
      <c r="U3540" s="69"/>
      <c r="V3540" s="69"/>
      <c r="W3540" s="69"/>
    </row>
    <row r="3541" spans="7:23" x14ac:dyDescent="0.3">
      <c r="G3541" s="69"/>
      <c r="H3541" s="69"/>
      <c r="I3541" s="69"/>
      <c r="J3541" s="69"/>
      <c r="K3541" s="69"/>
      <c r="L3541" s="69"/>
      <c r="M3541" s="69"/>
      <c r="N3541" s="69"/>
      <c r="O3541" s="69"/>
      <c r="P3541" s="69"/>
      <c r="Q3541" s="69"/>
      <c r="R3541" s="69"/>
      <c r="S3541" s="69"/>
      <c r="T3541" s="69"/>
      <c r="U3541" s="69"/>
      <c r="V3541" s="69"/>
      <c r="W3541" s="69"/>
    </row>
    <row r="3542" spans="7:23" x14ac:dyDescent="0.3">
      <c r="G3542" s="69"/>
      <c r="H3542" s="69"/>
      <c r="I3542" s="69"/>
      <c r="J3542" s="69"/>
      <c r="K3542" s="69"/>
      <c r="L3542" s="69"/>
      <c r="M3542" s="69"/>
      <c r="N3542" s="69"/>
      <c r="O3542" s="69"/>
      <c r="P3542" s="69"/>
      <c r="Q3542" s="69"/>
      <c r="R3542" s="69"/>
      <c r="S3542" s="69"/>
      <c r="T3542" s="69"/>
      <c r="U3542" s="69"/>
      <c r="V3542" s="69"/>
      <c r="W3542" s="69"/>
    </row>
    <row r="3543" spans="7:23" x14ac:dyDescent="0.3">
      <c r="G3543" s="69"/>
      <c r="H3543" s="69"/>
      <c r="I3543" s="69"/>
      <c r="J3543" s="69"/>
      <c r="K3543" s="69"/>
      <c r="L3543" s="69"/>
      <c r="M3543" s="69"/>
      <c r="N3543" s="69"/>
      <c r="O3543" s="69"/>
      <c r="P3543" s="69"/>
      <c r="Q3543" s="69"/>
      <c r="R3543" s="69"/>
      <c r="S3543" s="69"/>
      <c r="T3543" s="69"/>
      <c r="U3543" s="69"/>
      <c r="V3543" s="69"/>
      <c r="W3543" s="69"/>
    </row>
    <row r="3544" spans="7:23" x14ac:dyDescent="0.3">
      <c r="G3544" s="69"/>
      <c r="H3544" s="69"/>
      <c r="I3544" s="69"/>
      <c r="J3544" s="69"/>
      <c r="K3544" s="69"/>
      <c r="L3544" s="69"/>
      <c r="M3544" s="69"/>
      <c r="N3544" s="69"/>
      <c r="O3544" s="69"/>
      <c r="P3544" s="69"/>
      <c r="Q3544" s="69"/>
      <c r="R3544" s="69"/>
      <c r="S3544" s="69"/>
      <c r="T3544" s="69"/>
      <c r="U3544" s="69"/>
      <c r="V3544" s="69"/>
      <c r="W3544" s="69"/>
    </row>
    <row r="3545" spans="7:23" x14ac:dyDescent="0.3">
      <c r="G3545" s="69"/>
      <c r="H3545" s="69"/>
      <c r="I3545" s="69"/>
      <c r="J3545" s="69"/>
      <c r="K3545" s="69"/>
      <c r="L3545" s="69"/>
      <c r="M3545" s="69"/>
      <c r="N3545" s="69"/>
      <c r="O3545" s="69"/>
      <c r="P3545" s="69"/>
      <c r="Q3545" s="69"/>
      <c r="R3545" s="69"/>
      <c r="S3545" s="69"/>
      <c r="T3545" s="69"/>
      <c r="U3545" s="69"/>
      <c r="V3545" s="69"/>
      <c r="W3545" s="69"/>
    </row>
    <row r="3546" spans="7:23" x14ac:dyDescent="0.3">
      <c r="G3546" s="69"/>
      <c r="H3546" s="69"/>
      <c r="I3546" s="69"/>
      <c r="J3546" s="69"/>
      <c r="K3546" s="69"/>
      <c r="L3546" s="69"/>
      <c r="M3546" s="69"/>
      <c r="N3546" s="69"/>
      <c r="O3546" s="69"/>
      <c r="P3546" s="69"/>
      <c r="Q3546" s="69"/>
      <c r="R3546" s="69"/>
      <c r="S3546" s="69"/>
      <c r="T3546" s="69"/>
      <c r="U3546" s="69"/>
      <c r="V3546" s="69"/>
      <c r="W3546" s="69"/>
    </row>
    <row r="3547" spans="7:23" x14ac:dyDescent="0.3">
      <c r="G3547" s="69"/>
      <c r="H3547" s="69"/>
      <c r="I3547" s="69"/>
      <c r="J3547" s="69"/>
      <c r="K3547" s="69"/>
      <c r="L3547" s="69"/>
      <c r="M3547" s="69"/>
      <c r="N3547" s="69"/>
      <c r="O3547" s="69"/>
      <c r="P3547" s="69"/>
      <c r="Q3547" s="69"/>
      <c r="R3547" s="69"/>
      <c r="S3547" s="69"/>
      <c r="T3547" s="69"/>
      <c r="U3547" s="69"/>
      <c r="V3547" s="69"/>
      <c r="W3547" s="69"/>
    </row>
    <row r="3548" spans="7:23" x14ac:dyDescent="0.3">
      <c r="G3548" s="69"/>
      <c r="H3548" s="69"/>
      <c r="I3548" s="69"/>
      <c r="J3548" s="69"/>
      <c r="K3548" s="69"/>
      <c r="L3548" s="69"/>
      <c r="M3548" s="69"/>
      <c r="N3548" s="69"/>
      <c r="O3548" s="69"/>
      <c r="P3548" s="69"/>
      <c r="Q3548" s="69"/>
      <c r="R3548" s="69"/>
      <c r="S3548" s="69"/>
      <c r="T3548" s="69"/>
      <c r="U3548" s="69"/>
      <c r="V3548" s="69"/>
      <c r="W3548" s="69"/>
    </row>
    <row r="3549" spans="7:23" x14ac:dyDescent="0.3">
      <c r="G3549" s="69"/>
      <c r="H3549" s="69"/>
      <c r="I3549" s="69"/>
      <c r="J3549" s="69"/>
      <c r="K3549" s="69"/>
      <c r="L3549" s="69"/>
      <c r="M3549" s="69"/>
      <c r="N3549" s="69"/>
      <c r="O3549" s="69"/>
      <c r="P3549" s="69"/>
      <c r="Q3549" s="69"/>
      <c r="R3549" s="69"/>
      <c r="S3549" s="69"/>
      <c r="T3549" s="69"/>
      <c r="U3549" s="69"/>
      <c r="V3549" s="69"/>
      <c r="W3549" s="69"/>
    </row>
    <row r="3550" spans="7:23" x14ac:dyDescent="0.3">
      <c r="G3550" s="69"/>
      <c r="H3550" s="69"/>
      <c r="I3550" s="69"/>
      <c r="J3550" s="69"/>
      <c r="K3550" s="69"/>
      <c r="L3550" s="69"/>
      <c r="M3550" s="69"/>
      <c r="N3550" s="69"/>
      <c r="O3550" s="69"/>
      <c r="P3550" s="69"/>
      <c r="Q3550" s="69"/>
      <c r="R3550" s="69"/>
      <c r="S3550" s="69"/>
      <c r="T3550" s="69"/>
      <c r="U3550" s="69"/>
      <c r="V3550" s="69"/>
      <c r="W3550" s="69"/>
    </row>
    <row r="3551" spans="7:23" x14ac:dyDescent="0.3">
      <c r="G3551" s="69"/>
      <c r="H3551" s="69"/>
      <c r="I3551" s="69"/>
      <c r="J3551" s="69"/>
      <c r="K3551" s="69"/>
      <c r="L3551" s="69"/>
      <c r="M3551" s="69"/>
      <c r="N3551" s="69"/>
      <c r="O3551" s="69"/>
      <c r="P3551" s="69"/>
      <c r="Q3551" s="69"/>
      <c r="R3551" s="69"/>
      <c r="S3551" s="69"/>
      <c r="T3551" s="69"/>
      <c r="U3551" s="69"/>
      <c r="V3551" s="69"/>
      <c r="W3551" s="69"/>
    </row>
    <row r="3552" spans="7:23" x14ac:dyDescent="0.3">
      <c r="G3552" s="69"/>
      <c r="H3552" s="69"/>
      <c r="I3552" s="69"/>
      <c r="J3552" s="69"/>
      <c r="K3552" s="69"/>
      <c r="L3552" s="69"/>
      <c r="M3552" s="69"/>
      <c r="N3552" s="69"/>
      <c r="O3552" s="69"/>
      <c r="P3552" s="69"/>
      <c r="Q3552" s="69"/>
      <c r="R3552" s="69"/>
      <c r="S3552" s="69"/>
      <c r="T3552" s="69"/>
      <c r="U3552" s="69"/>
      <c r="V3552" s="69"/>
      <c r="W3552" s="69"/>
    </row>
    <row r="3553" spans="7:23" x14ac:dyDescent="0.3">
      <c r="G3553" s="69"/>
      <c r="H3553" s="69"/>
      <c r="I3553" s="69"/>
      <c r="J3553" s="69"/>
      <c r="K3553" s="69"/>
      <c r="L3553" s="69"/>
      <c r="M3553" s="69"/>
      <c r="N3553" s="69"/>
      <c r="O3553" s="69"/>
      <c r="P3553" s="69"/>
      <c r="Q3553" s="69"/>
      <c r="R3553" s="69"/>
      <c r="S3553" s="69"/>
      <c r="T3553" s="69"/>
      <c r="U3553" s="69"/>
      <c r="V3553" s="69"/>
      <c r="W3553" s="69"/>
    </row>
    <row r="3554" spans="7:23" x14ac:dyDescent="0.3">
      <c r="G3554" s="69"/>
      <c r="H3554" s="69"/>
      <c r="I3554" s="69"/>
      <c r="J3554" s="69"/>
      <c r="K3554" s="69"/>
      <c r="L3554" s="69"/>
      <c r="M3554" s="69"/>
      <c r="N3554" s="69"/>
      <c r="O3554" s="69"/>
      <c r="P3554" s="69"/>
      <c r="Q3554" s="69"/>
      <c r="R3554" s="69"/>
      <c r="S3554" s="69"/>
      <c r="T3554" s="69"/>
      <c r="U3554" s="69"/>
      <c r="V3554" s="69"/>
      <c r="W3554" s="69"/>
    </row>
    <row r="3555" spans="7:23" x14ac:dyDescent="0.3">
      <c r="G3555" s="69"/>
      <c r="H3555" s="69"/>
      <c r="I3555" s="69"/>
      <c r="J3555" s="69"/>
      <c r="K3555" s="69"/>
      <c r="L3555" s="69"/>
      <c r="M3555" s="69"/>
      <c r="N3555" s="69"/>
      <c r="O3555" s="69"/>
      <c r="P3555" s="69"/>
      <c r="Q3555" s="69"/>
      <c r="R3555" s="69"/>
      <c r="S3555" s="69"/>
      <c r="T3555" s="69"/>
      <c r="U3555" s="69"/>
      <c r="V3555" s="69"/>
      <c r="W3555" s="69"/>
    </row>
    <row r="3556" spans="7:23" x14ac:dyDescent="0.3">
      <c r="G3556" s="69"/>
      <c r="H3556" s="69"/>
      <c r="I3556" s="69"/>
      <c r="J3556" s="69"/>
      <c r="K3556" s="69"/>
      <c r="L3556" s="69"/>
      <c r="M3556" s="69"/>
      <c r="N3556" s="69"/>
      <c r="O3556" s="69"/>
      <c r="P3556" s="69"/>
      <c r="Q3556" s="69"/>
      <c r="R3556" s="69"/>
      <c r="S3556" s="69"/>
      <c r="T3556" s="69"/>
      <c r="U3556" s="69"/>
      <c r="V3556" s="69"/>
      <c r="W3556" s="69"/>
    </row>
    <row r="3557" spans="7:23" x14ac:dyDescent="0.3">
      <c r="G3557" s="69"/>
      <c r="H3557" s="69"/>
      <c r="I3557" s="69"/>
      <c r="J3557" s="69"/>
      <c r="K3557" s="69"/>
      <c r="L3557" s="69"/>
      <c r="M3557" s="69"/>
      <c r="N3557" s="69"/>
      <c r="O3557" s="69"/>
      <c r="P3557" s="69"/>
      <c r="Q3557" s="69"/>
      <c r="R3557" s="69"/>
      <c r="S3557" s="69"/>
      <c r="T3557" s="69"/>
      <c r="U3557" s="69"/>
      <c r="V3557" s="69"/>
      <c r="W3557" s="69"/>
    </row>
    <row r="3558" spans="7:23" x14ac:dyDescent="0.3">
      <c r="G3558" s="69"/>
      <c r="H3558" s="69"/>
      <c r="I3558" s="69"/>
      <c r="J3558" s="69"/>
      <c r="K3558" s="69"/>
      <c r="L3558" s="69"/>
      <c r="M3558" s="69"/>
      <c r="N3558" s="69"/>
      <c r="O3558" s="69"/>
      <c r="P3558" s="69"/>
      <c r="Q3558" s="69"/>
      <c r="R3558" s="69"/>
      <c r="S3558" s="69"/>
      <c r="T3558" s="69"/>
      <c r="U3558" s="69"/>
      <c r="V3558" s="69"/>
      <c r="W3558" s="69"/>
    </row>
  </sheetData>
  <mergeCells count="12">
    <mergeCell ref="E72:H72"/>
    <mergeCell ref="I72:J72"/>
    <mergeCell ref="M72:Q72"/>
    <mergeCell ref="R72:V72"/>
    <mergeCell ref="A1:D1"/>
    <mergeCell ref="A2:D2"/>
    <mergeCell ref="J3:N3"/>
    <mergeCell ref="E5:F5"/>
    <mergeCell ref="G5:H5"/>
    <mergeCell ref="I5:J5"/>
    <mergeCell ref="K5:L5"/>
    <mergeCell ref="M5:N5"/>
  </mergeCells>
  <dataValidations count="5">
    <dataValidation type="decimal" allowBlank="1" showInputMessage="1" showErrorMessage="1" sqref="B26" xr:uid="{6C85C489-2C7D-4BF2-97AA-2AA0616588B1}">
      <formula1>1</formula1>
      <formula2>99</formula2>
    </dataValidation>
    <dataValidation type="decimal" allowBlank="1" showInputMessage="1" showErrorMessage="1" sqref="B25" xr:uid="{CCF2637B-3214-415A-BDBD-C1363628C6B4}">
      <formula1>(B23)</formula1>
      <formula2>(D23)</formula2>
    </dataValidation>
    <dataValidation type="decimal" allowBlank="1" showInputMessage="1" showErrorMessage="1" sqref="D40" xr:uid="{00000000-0002-0000-0100-000002000000}">
      <formula1>IF(#REF!=0,(MIN(B4:B34)),10^-9)</formula1>
      <formula2>IF(#REF!=0,(MAX(B4:B34)),#REF!)</formula2>
    </dataValidation>
    <dataValidation type="decimal" allowBlank="1" showInputMessage="1" showErrorMessage="1" sqref="D37" xr:uid="{00000000-0002-0000-0100-000003000000}">
      <formula1>IF(#REF!=0,(MIN(A4:A34)),-10^9)</formula1>
      <formula2>IF(#REF!=0,(MAX(A4:A34)),10^9)</formula2>
    </dataValidation>
    <dataValidation type="whole" operator="equal" allowBlank="1" showInputMessage="1" showErrorMessage="1" sqref="P3:Q22 R12 R3:R11 R13:R22 T3:T22 S3:S13 S15:S22 S14" xr:uid="{98F1F9CB-AB3F-43EB-A391-80578675A94C}">
      <formula1>100000</formula1>
    </dataValidation>
  </dataValidations>
  <pageMargins left="0.7" right="0.7" top="0.78740157499999996" bottom="0.78740157499999996" header="0.3" footer="0.3"/>
  <pageSetup paperSize="9" scale="95" orientation="landscape" horizontalDpi="4294967293" verticalDpi="4294967293" r:id="rId1"/>
  <ignoredErrors>
    <ignoredError sqref="R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60"/>
  <sheetViews>
    <sheetView topLeftCell="O1" zoomScale="144" zoomScaleNormal="100" workbookViewId="0">
      <selection activeCell="R4" sqref="R4"/>
    </sheetView>
  </sheetViews>
  <sheetFormatPr baseColWidth="10" defaultRowHeight="14.4" x14ac:dyDescent="0.3"/>
  <cols>
    <col min="1" max="1" width="37.33203125" style="9" customWidth="1"/>
    <col min="2" max="2" width="22.88671875" style="9" customWidth="1"/>
    <col min="3" max="3" width="29.6640625" style="9" customWidth="1"/>
    <col min="4" max="4" width="37.33203125" style="9" customWidth="1"/>
    <col min="5" max="5" width="13.109375" style="9" customWidth="1"/>
    <col min="6" max="6" width="12.21875" style="9" customWidth="1"/>
    <col min="7" max="7" width="12.6640625" style="9" customWidth="1"/>
    <col min="8" max="8" width="12.77734375" style="9" customWidth="1"/>
    <col min="9" max="9" width="11.33203125" style="9" customWidth="1"/>
    <col min="10" max="10" width="10.88671875" style="9" customWidth="1"/>
    <col min="11" max="11" width="11.44140625" style="9" customWidth="1"/>
    <col min="12" max="12" width="13.6640625" style="9" customWidth="1"/>
    <col min="13" max="13" width="10.21875" style="9" customWidth="1"/>
    <col min="14" max="14" width="13.44140625" style="9" customWidth="1"/>
    <col min="15" max="15" width="11.5546875" style="9"/>
    <col min="16" max="16" width="18.109375" style="9" customWidth="1"/>
    <col min="17" max="17" width="17.21875" style="9" customWidth="1"/>
    <col min="18" max="18" width="17" style="9" customWidth="1"/>
    <col min="19" max="19" width="18.33203125" style="9" customWidth="1"/>
    <col min="20" max="20" width="18.44140625" style="9" customWidth="1"/>
    <col min="21" max="21" width="16.5546875" style="9" customWidth="1"/>
    <col min="22" max="22" width="11.5546875" style="9"/>
    <col min="23" max="23" width="13.6640625" style="9" customWidth="1"/>
    <col min="24" max="24" width="14.44140625" style="9" customWidth="1"/>
    <col min="25" max="25" width="13.109375" style="9" customWidth="1"/>
    <col min="26" max="16384" width="11.5546875" style="9"/>
  </cols>
  <sheetData>
    <row r="1" spans="1:24" ht="14.4" customHeight="1" x14ac:dyDescent="0.35">
      <c r="A1" s="161" t="s">
        <v>57</v>
      </c>
      <c r="B1" s="162"/>
      <c r="C1" s="162"/>
      <c r="D1" s="163"/>
      <c r="E1" s="6"/>
      <c r="F1" s="7"/>
      <c r="G1" s="7"/>
      <c r="H1" s="7" t="s">
        <v>112</v>
      </c>
      <c r="I1" s="7"/>
      <c r="J1" s="7"/>
      <c r="K1" s="7"/>
      <c r="L1" s="7"/>
      <c r="M1" s="7"/>
      <c r="N1" s="8"/>
      <c r="O1" s="70"/>
      <c r="P1" s="65"/>
      <c r="Q1" s="65"/>
      <c r="R1" s="65"/>
      <c r="S1" s="65"/>
      <c r="T1" s="65"/>
      <c r="U1" s="65"/>
      <c r="V1" s="65"/>
      <c r="W1" s="65"/>
    </row>
    <row r="2" spans="1:24" ht="14.4" customHeight="1" x14ac:dyDescent="0.35">
      <c r="A2" s="159" t="s">
        <v>58</v>
      </c>
      <c r="B2" s="148"/>
      <c r="C2" s="148"/>
      <c r="D2" s="160"/>
      <c r="E2" s="10" t="str">
        <f>'FALL 1'!E2</f>
        <v>BANDBREITE DER URNE von</v>
      </c>
      <c r="F2" s="11"/>
      <c r="G2" s="12">
        <f>'FALL 1'!G2</f>
        <v>1</v>
      </c>
      <c r="H2" s="13" t="str">
        <f>'FALL 1'!H2</f>
        <v>bis</v>
      </c>
      <c r="I2" s="12">
        <f>'FALL 1'!I2</f>
        <v>50</v>
      </c>
      <c r="J2" s="14"/>
      <c r="K2" s="14"/>
      <c r="L2" s="14"/>
      <c r="M2" s="14"/>
      <c r="N2" s="15"/>
      <c r="O2" s="16" t="s">
        <v>144</v>
      </c>
      <c r="P2" s="17"/>
      <c r="Q2" s="17" t="s">
        <v>147</v>
      </c>
      <c r="R2" s="17" t="s">
        <v>146</v>
      </c>
      <c r="S2" s="18"/>
      <c r="T2" s="17"/>
      <c r="U2" s="17"/>
      <c r="V2" s="65"/>
      <c r="W2" s="65"/>
    </row>
    <row r="3" spans="1:24" ht="15.6" customHeight="1" x14ac:dyDescent="0.45">
      <c r="A3" s="19"/>
      <c r="D3" s="20"/>
      <c r="E3" s="10" t="str">
        <f>'FALL 1'!E3</f>
        <v>ZUFALLSZAHLEN von</v>
      </c>
      <c r="F3" s="11"/>
      <c r="G3" s="12">
        <f>'FALL 1'!G3</f>
        <v>1</v>
      </c>
      <c r="H3" s="13" t="str">
        <f>'FALL 1'!H3</f>
        <v>bis</v>
      </c>
      <c r="I3" s="12">
        <f>'FALL 1'!I3</f>
        <v>50</v>
      </c>
      <c r="J3" s="164" t="str">
        <f>'FALL 1'!J3</f>
        <v>GEZOGENE ZUFALLSZAHLEN</v>
      </c>
      <c r="K3" s="165"/>
      <c r="L3" s="165"/>
      <c r="M3" s="166"/>
      <c r="N3" s="167"/>
      <c r="O3" s="21"/>
      <c r="P3" s="22" t="str">
        <f ca="1">IF($H$176=I74,I74,"")</f>
        <v/>
      </c>
      <c r="Q3" s="22" t="str">
        <f ca="1">IF($H$176=I94,I94,"")</f>
        <v/>
      </c>
      <c r="R3" s="23" t="str">
        <f t="shared" ref="R3:R11" ca="1" si="0">IF($H$176=I114,I114,"")</f>
        <v/>
      </c>
      <c r="S3" s="24" t="str">
        <f ca="1">IF($H$176=I134,I134,"")</f>
        <v/>
      </c>
      <c r="T3" s="24" t="str">
        <f ca="1">IF($H$176=I154,I154,"")</f>
        <v/>
      </c>
      <c r="U3" s="21"/>
    </row>
    <row r="4" spans="1:24" ht="15.6" customHeight="1" x14ac:dyDescent="0.3">
      <c r="A4" s="25"/>
      <c r="D4" s="20"/>
      <c r="E4" s="157" t="str">
        <f>'FALL 1'!E4</f>
        <v>GEZOGENE ZUFALLSZAHLEN (unten):</v>
      </c>
      <c r="F4" s="158"/>
      <c r="G4" s="149"/>
      <c r="H4" s="13" t="str">
        <f>'FALL 1'!H4</f>
        <v>ANZAHL ZZ</v>
      </c>
      <c r="I4" s="12">
        <f>'FALL 1'!I4</f>
        <v>100</v>
      </c>
      <c r="J4" s="12"/>
      <c r="K4" s="12" t="str">
        <f>'FALL 1'!K4</f>
        <v>r für ZZ:</v>
      </c>
      <c r="L4" s="12">
        <f ca="1">'FALL 6'!$M$183</f>
        <v>0.99619635986906463</v>
      </c>
      <c r="M4" s="12" t="str">
        <f>'FALL 1'!M4</f>
        <v>r für ZZ:</v>
      </c>
      <c r="N4" s="26">
        <f ca="1">'FALL 6'!$R$183</f>
        <v>0.99592091441328545</v>
      </c>
      <c r="O4" s="21"/>
      <c r="P4" s="22" t="str">
        <f t="shared" ref="P4:P22" ca="1" si="1">IF($H$176=I75,I75,"")</f>
        <v/>
      </c>
      <c r="Q4" s="22" t="str">
        <f t="shared" ref="Q4:Q22" ca="1" si="2">IF($H$176=I95,I95,"")</f>
        <v/>
      </c>
      <c r="R4" s="23" t="str">
        <f t="shared" ca="1" si="0"/>
        <v/>
      </c>
      <c r="S4" s="24" t="str">
        <f t="shared" ref="S4:S22" ca="1" si="3">IF($H$176=I135,I135,"")</f>
        <v/>
      </c>
      <c r="T4" s="24" t="str">
        <f t="shared" ref="T4:T22" ca="1" si="4">IF($H$176=I155,I155,"")</f>
        <v/>
      </c>
      <c r="U4" s="21"/>
    </row>
    <row r="5" spans="1:24" ht="15.6" x14ac:dyDescent="0.3">
      <c r="A5" s="19"/>
      <c r="B5" s="11"/>
      <c r="C5" s="11"/>
      <c r="D5" s="27"/>
      <c r="E5" s="152" t="str">
        <f>'FALL 1'!E5</f>
        <v>Ziehung 1 bis 20, sortiert</v>
      </c>
      <c r="F5" s="153"/>
      <c r="G5" s="154" t="str">
        <f>'FALL 1'!G5</f>
        <v>Ziehung 21 bis 40, sortiert</v>
      </c>
      <c r="H5" s="154"/>
      <c r="I5" s="154" t="str">
        <f>'FALL 1'!I5</f>
        <v>Ziehung 41 bis 60, sortiert</v>
      </c>
      <c r="J5" s="154"/>
      <c r="K5" s="155" t="str">
        <f>'FALL 1'!K5</f>
        <v>Ziehung 61 bis 80, sortiert</v>
      </c>
      <c r="L5" s="155"/>
      <c r="M5" s="155" t="str">
        <f>'FALL 1'!M5</f>
        <v>Ziehung 81 bis 100, sortiert</v>
      </c>
      <c r="N5" s="156"/>
      <c r="O5" s="21"/>
      <c r="P5" s="22" t="str">
        <f t="shared" ca="1" si="1"/>
        <v/>
      </c>
      <c r="Q5" s="22" t="str">
        <f t="shared" ca="1" si="2"/>
        <v/>
      </c>
      <c r="R5" s="23" t="str">
        <f t="shared" ca="1" si="0"/>
        <v/>
      </c>
      <c r="S5" s="24" t="str">
        <f t="shared" ca="1" si="3"/>
        <v/>
      </c>
      <c r="T5" s="24" t="str">
        <f t="shared" ca="1" si="4"/>
        <v/>
      </c>
      <c r="U5" s="21"/>
      <c r="V5" s="11"/>
      <c r="W5" s="11"/>
    </row>
    <row r="6" spans="1:24" ht="15.6" x14ac:dyDescent="0.3">
      <c r="A6" s="19"/>
      <c r="B6" s="11"/>
      <c r="C6" s="11"/>
      <c r="D6" s="28"/>
      <c r="E6" s="29" t="str">
        <f>'FALL 1'!E6</f>
        <v>Zufallszahl</v>
      </c>
      <c r="F6" s="12" t="str">
        <f>'FALL 1'!F6</f>
        <v>ganze Zahl</v>
      </c>
      <c r="G6" s="12" t="str">
        <f>'FALL 1'!G6</f>
        <v>Zufallszahl</v>
      </c>
      <c r="H6" s="12" t="str">
        <f>'FALL 1'!H6</f>
        <v>ganze Zahl</v>
      </c>
      <c r="I6" s="12" t="str">
        <f>'FALL 1'!I6</f>
        <v>Zufallszahl</v>
      </c>
      <c r="J6" s="12" t="str">
        <f>'FALL 1'!J6</f>
        <v>ganze Zahl</v>
      </c>
      <c r="K6" s="30" t="str">
        <f>'FALL 1'!K6</f>
        <v>Zufallszahl</v>
      </c>
      <c r="L6" s="12" t="str">
        <f>'FALL 1'!L6</f>
        <v>ganze Zahl</v>
      </c>
      <c r="M6" s="30" t="str">
        <f>'FALL 1'!M6</f>
        <v>Zufallszahl</v>
      </c>
      <c r="N6" s="26" t="str">
        <f>'FALL 1'!N6</f>
        <v>ganze Zahl</v>
      </c>
      <c r="O6" s="21"/>
      <c r="P6" s="22" t="str">
        <f t="shared" ca="1" si="1"/>
        <v/>
      </c>
      <c r="Q6" s="22" t="str">
        <f t="shared" ca="1" si="2"/>
        <v/>
      </c>
      <c r="R6" s="23" t="str">
        <f t="shared" ca="1" si="0"/>
        <v/>
      </c>
      <c r="S6" s="24" t="str">
        <f t="shared" ca="1" si="3"/>
        <v/>
      </c>
      <c r="T6" s="24" t="str">
        <f t="shared" ca="1" si="4"/>
        <v/>
      </c>
      <c r="U6" s="21"/>
      <c r="V6" s="11"/>
      <c r="W6" s="11"/>
      <c r="X6" s="11"/>
    </row>
    <row r="7" spans="1:24" ht="15.6" x14ac:dyDescent="0.3">
      <c r="A7" s="19"/>
      <c r="B7" s="11"/>
      <c r="C7" s="11"/>
      <c r="D7" s="28"/>
      <c r="E7" s="31">
        <f t="shared" ref="E7:E26" ca="1" si="5">I74</f>
        <v>3.4</v>
      </c>
      <c r="F7" s="13">
        <f ca="1">IF(E7="","",ROUND(E7,0))</f>
        <v>3</v>
      </c>
      <c r="G7" s="13">
        <f t="shared" ref="G7:G26" ca="1" si="6">I94</f>
        <v>9.5</v>
      </c>
      <c r="H7" s="13">
        <f ca="1">IF(G7="","",ROUND(G7,0))</f>
        <v>10</v>
      </c>
      <c r="I7" s="13">
        <f t="shared" ref="I7:I26" ca="1" si="7">I114</f>
        <v>12.6</v>
      </c>
      <c r="J7" s="13">
        <f ca="1">IF(I7="","",ROUND(I7,0))</f>
        <v>13</v>
      </c>
      <c r="K7" s="13">
        <f t="shared" ref="K7:K26" ca="1" si="8">I134</f>
        <v>17.3</v>
      </c>
      <c r="L7" s="13">
        <f ca="1">IF(K7="","",ROUND(K7,0))</f>
        <v>17</v>
      </c>
      <c r="M7" s="13">
        <f t="shared" ref="M7:M26" ca="1" si="9">I154</f>
        <v>23.1</v>
      </c>
      <c r="N7" s="32">
        <f ca="1">IF(M7="","",ROUND(M7,0))</f>
        <v>23</v>
      </c>
      <c r="O7" s="21"/>
      <c r="P7" s="22" t="str">
        <f t="shared" ca="1" si="1"/>
        <v/>
      </c>
      <c r="Q7" s="22" t="str">
        <f t="shared" ca="1" si="2"/>
        <v/>
      </c>
      <c r="R7" s="23" t="str">
        <f t="shared" ca="1" si="0"/>
        <v/>
      </c>
      <c r="S7" s="24" t="str">
        <f t="shared" ca="1" si="3"/>
        <v/>
      </c>
      <c r="T7" s="24" t="str">
        <f t="shared" ca="1" si="4"/>
        <v/>
      </c>
      <c r="U7" s="21"/>
      <c r="V7" s="11"/>
      <c r="W7" s="11"/>
      <c r="X7" s="11"/>
    </row>
    <row r="8" spans="1:24" ht="15.6" x14ac:dyDescent="0.3">
      <c r="A8" s="19"/>
      <c r="B8" s="11"/>
      <c r="C8" s="11"/>
      <c r="D8" s="28"/>
      <c r="E8" s="31">
        <f t="shared" ca="1" si="5"/>
        <v>4.2</v>
      </c>
      <c r="F8" s="13">
        <f t="shared" ref="F8:F26" ca="1" si="10">IF(E8="","",ROUND(E8,0))</f>
        <v>4</v>
      </c>
      <c r="G8" s="13">
        <f t="shared" ca="1" si="6"/>
        <v>9.6</v>
      </c>
      <c r="H8" s="13">
        <f t="shared" ref="H8:H26" ca="1" si="11">IF(G8="","",ROUND(G8,0))</f>
        <v>10</v>
      </c>
      <c r="I8" s="13">
        <f t="shared" ca="1" si="7"/>
        <v>12.8</v>
      </c>
      <c r="J8" s="13">
        <f t="shared" ref="J8:J26" ca="1" si="12">IF(I8="","",ROUND(I8,0))</f>
        <v>13</v>
      </c>
      <c r="K8" s="13">
        <f t="shared" ca="1" si="8"/>
        <v>17.5</v>
      </c>
      <c r="L8" s="13">
        <f t="shared" ref="L8:L26" ca="1" si="13">IF(K8="","",ROUND(K8,0))</f>
        <v>18</v>
      </c>
      <c r="M8" s="13">
        <f t="shared" ca="1" si="9"/>
        <v>23.2</v>
      </c>
      <c r="N8" s="32">
        <f t="shared" ref="N8:N26" ca="1" si="14">IF(M8="","",ROUND(M8,0))</f>
        <v>23</v>
      </c>
      <c r="O8" s="21"/>
      <c r="P8" s="22" t="str">
        <f t="shared" ca="1" si="1"/>
        <v/>
      </c>
      <c r="Q8" s="22" t="str">
        <f t="shared" ca="1" si="2"/>
        <v/>
      </c>
      <c r="R8" s="23" t="str">
        <f t="shared" ca="1" si="0"/>
        <v/>
      </c>
      <c r="S8" s="24" t="str">
        <f t="shared" ca="1" si="3"/>
        <v/>
      </c>
      <c r="T8" s="24" t="str">
        <f t="shared" ca="1" si="4"/>
        <v/>
      </c>
      <c r="U8" s="21"/>
      <c r="V8" s="11"/>
      <c r="W8" s="11"/>
      <c r="X8" s="11"/>
    </row>
    <row r="9" spans="1:24" ht="15.6" x14ac:dyDescent="0.3">
      <c r="A9" s="19"/>
      <c r="B9" s="11"/>
      <c r="C9" s="11"/>
      <c r="D9" s="28"/>
      <c r="E9" s="31">
        <f t="shared" ca="1" si="5"/>
        <v>4.2</v>
      </c>
      <c r="F9" s="13">
        <f t="shared" ca="1" si="10"/>
        <v>4</v>
      </c>
      <c r="G9" s="13">
        <f t="shared" ca="1" si="6"/>
        <v>9.6999999999999993</v>
      </c>
      <c r="H9" s="13">
        <f t="shared" ca="1" si="11"/>
        <v>10</v>
      </c>
      <c r="I9" s="13">
        <f t="shared" ca="1" si="7"/>
        <v>13.6</v>
      </c>
      <c r="J9" s="13">
        <f t="shared" ca="1" si="12"/>
        <v>14</v>
      </c>
      <c r="K9" s="13">
        <f t="shared" ca="1" si="8"/>
        <v>17.8</v>
      </c>
      <c r="L9" s="13">
        <f t="shared" ca="1" si="13"/>
        <v>18</v>
      </c>
      <c r="M9" s="13">
        <f t="shared" ca="1" si="9"/>
        <v>23.3</v>
      </c>
      <c r="N9" s="32">
        <f t="shared" ca="1" si="14"/>
        <v>23</v>
      </c>
      <c r="O9" s="21"/>
      <c r="P9" s="22" t="str">
        <f ca="1">IF($H$176=I80,I80,"")</f>
        <v/>
      </c>
      <c r="Q9" s="22" t="str">
        <f t="shared" ca="1" si="2"/>
        <v/>
      </c>
      <c r="R9" s="23" t="str">
        <f t="shared" ca="1" si="0"/>
        <v/>
      </c>
      <c r="S9" s="24">
        <f t="shared" ca="1" si="3"/>
        <v>18.899999999999999</v>
      </c>
      <c r="T9" s="24" t="str">
        <f t="shared" ca="1" si="4"/>
        <v/>
      </c>
      <c r="U9" s="21"/>
      <c r="V9" s="11"/>
      <c r="W9" s="11"/>
      <c r="X9" s="11"/>
    </row>
    <row r="10" spans="1:24" ht="15.6" x14ac:dyDescent="0.3">
      <c r="A10" s="19"/>
      <c r="B10" s="11"/>
      <c r="C10" s="11"/>
      <c r="D10" s="28"/>
      <c r="E10" s="31">
        <f t="shared" ca="1" si="5"/>
        <v>4.5999999999999996</v>
      </c>
      <c r="F10" s="13">
        <f t="shared" ca="1" si="10"/>
        <v>5</v>
      </c>
      <c r="G10" s="13">
        <f t="shared" ca="1" si="6"/>
        <v>10</v>
      </c>
      <c r="H10" s="13">
        <f t="shared" ca="1" si="11"/>
        <v>10</v>
      </c>
      <c r="I10" s="13">
        <f t="shared" ca="1" si="7"/>
        <v>14</v>
      </c>
      <c r="J10" s="13">
        <f t="shared" ca="1" si="12"/>
        <v>14</v>
      </c>
      <c r="K10" s="13">
        <f t="shared" ca="1" si="8"/>
        <v>17.8</v>
      </c>
      <c r="L10" s="13">
        <f t="shared" ca="1" si="13"/>
        <v>18</v>
      </c>
      <c r="M10" s="13">
        <f t="shared" ca="1" si="9"/>
        <v>23.3</v>
      </c>
      <c r="N10" s="32">
        <f t="shared" ca="1" si="14"/>
        <v>23</v>
      </c>
      <c r="O10" s="21"/>
      <c r="P10" s="22" t="str">
        <f t="shared" ca="1" si="1"/>
        <v/>
      </c>
      <c r="Q10" s="22" t="str">
        <f t="shared" ca="1" si="2"/>
        <v/>
      </c>
      <c r="R10" s="23" t="str">
        <f t="shared" ca="1" si="0"/>
        <v/>
      </c>
      <c r="S10" s="24">
        <f t="shared" ca="1" si="3"/>
        <v>18.899999999999999</v>
      </c>
      <c r="T10" s="24" t="str">
        <f t="shared" ca="1" si="4"/>
        <v/>
      </c>
      <c r="U10" s="21"/>
      <c r="V10" s="11"/>
      <c r="W10" s="11"/>
      <c r="X10" s="11"/>
    </row>
    <row r="11" spans="1:24" ht="15.6" x14ac:dyDescent="0.3">
      <c r="A11" s="19"/>
      <c r="B11" s="11"/>
      <c r="C11" s="11"/>
      <c r="D11" s="28"/>
      <c r="E11" s="31">
        <f t="shared" ca="1" si="5"/>
        <v>5.2</v>
      </c>
      <c r="F11" s="13">
        <f t="shared" ca="1" si="10"/>
        <v>5</v>
      </c>
      <c r="G11" s="13">
        <f t="shared" ca="1" si="6"/>
        <v>10</v>
      </c>
      <c r="H11" s="13">
        <f t="shared" ca="1" si="11"/>
        <v>10</v>
      </c>
      <c r="I11" s="13">
        <f t="shared" ca="1" si="7"/>
        <v>14.1</v>
      </c>
      <c r="J11" s="13">
        <f t="shared" ca="1" si="12"/>
        <v>14</v>
      </c>
      <c r="K11" s="13">
        <f t="shared" ca="1" si="8"/>
        <v>18</v>
      </c>
      <c r="L11" s="13">
        <f t="shared" ca="1" si="13"/>
        <v>18</v>
      </c>
      <c r="M11" s="13">
        <f t="shared" ca="1" si="9"/>
        <v>23.8</v>
      </c>
      <c r="N11" s="32">
        <f t="shared" ca="1" si="14"/>
        <v>24</v>
      </c>
      <c r="O11" s="21"/>
      <c r="P11" s="22" t="str">
        <f t="shared" ca="1" si="1"/>
        <v/>
      </c>
      <c r="Q11" s="22" t="str">
        <f t="shared" ca="1" si="2"/>
        <v/>
      </c>
      <c r="R11" s="33" t="str">
        <f t="shared" ca="1" si="0"/>
        <v/>
      </c>
      <c r="S11" s="24" t="str">
        <f t="shared" ca="1" si="3"/>
        <v/>
      </c>
      <c r="T11" s="24" t="str">
        <f t="shared" ca="1" si="4"/>
        <v/>
      </c>
      <c r="U11" s="21"/>
      <c r="V11" s="11"/>
      <c r="W11" s="11"/>
      <c r="X11" s="11"/>
    </row>
    <row r="12" spans="1:24" ht="15.6" customHeight="1" x14ac:dyDescent="0.5">
      <c r="A12" s="19"/>
      <c r="B12" s="11"/>
      <c r="C12" s="11"/>
      <c r="D12" s="28"/>
      <c r="E12" s="31">
        <f t="shared" ca="1" si="5"/>
        <v>5.4</v>
      </c>
      <c r="F12" s="13">
        <f t="shared" ca="1" si="10"/>
        <v>5</v>
      </c>
      <c r="G12" s="13">
        <f t="shared" ca="1" si="6"/>
        <v>10.1</v>
      </c>
      <c r="H12" s="13">
        <f t="shared" ca="1" si="11"/>
        <v>10</v>
      </c>
      <c r="I12" s="13">
        <f t="shared" ca="1" si="7"/>
        <v>14.4</v>
      </c>
      <c r="J12" s="13">
        <f t="shared" ca="1" si="12"/>
        <v>14</v>
      </c>
      <c r="K12" s="13">
        <f t="shared" ca="1" si="8"/>
        <v>18.100000000000001</v>
      </c>
      <c r="L12" s="13">
        <f t="shared" ca="1" si="13"/>
        <v>18</v>
      </c>
      <c r="M12" s="13">
        <f t="shared" ca="1" si="9"/>
        <v>24.2</v>
      </c>
      <c r="N12" s="32">
        <f t="shared" ca="1" si="14"/>
        <v>24</v>
      </c>
      <c r="O12" s="3" t="s">
        <v>141</v>
      </c>
      <c r="P12" s="22" t="str">
        <f t="shared" ca="1" si="1"/>
        <v/>
      </c>
      <c r="Q12" s="22" t="str">
        <f t="shared" ca="1" si="2"/>
        <v/>
      </c>
      <c r="R12" s="2" t="s">
        <v>141</v>
      </c>
      <c r="S12" s="24" t="str">
        <f t="shared" ca="1" si="3"/>
        <v/>
      </c>
      <c r="T12" s="24" t="str">
        <f t="shared" ca="1" si="4"/>
        <v/>
      </c>
      <c r="U12" s="4" t="s">
        <v>141</v>
      </c>
      <c r="V12" s="11"/>
      <c r="W12" s="11"/>
      <c r="X12" s="11"/>
    </row>
    <row r="13" spans="1:24" ht="15.6" x14ac:dyDescent="0.3">
      <c r="A13" s="19"/>
      <c r="B13" s="11"/>
      <c r="C13" s="11"/>
      <c r="D13" s="28"/>
      <c r="E13" s="31">
        <f t="shared" ca="1" si="5"/>
        <v>5.8</v>
      </c>
      <c r="F13" s="13">
        <f t="shared" ca="1" si="10"/>
        <v>6</v>
      </c>
      <c r="G13" s="13">
        <f t="shared" ca="1" si="6"/>
        <v>10.1</v>
      </c>
      <c r="H13" s="13">
        <f t="shared" ca="1" si="11"/>
        <v>10</v>
      </c>
      <c r="I13" s="13">
        <f t="shared" ca="1" si="7"/>
        <v>14.5</v>
      </c>
      <c r="J13" s="13">
        <f t="shared" ca="1" si="12"/>
        <v>15</v>
      </c>
      <c r="K13" s="13">
        <f t="shared" ca="1" si="8"/>
        <v>18.899999999999999</v>
      </c>
      <c r="L13" s="13">
        <f t="shared" ca="1" si="13"/>
        <v>19</v>
      </c>
      <c r="M13" s="13">
        <f t="shared" ca="1" si="9"/>
        <v>24.8</v>
      </c>
      <c r="N13" s="32">
        <f t="shared" ca="1" si="14"/>
        <v>25</v>
      </c>
      <c r="O13" s="21"/>
      <c r="P13" s="22" t="str">
        <f t="shared" ca="1" si="1"/>
        <v/>
      </c>
      <c r="Q13" s="22" t="str">
        <f t="shared" ca="1" si="2"/>
        <v/>
      </c>
      <c r="R13" s="23" t="str">
        <f t="shared" ref="R13:R22" ca="1" si="15">IF($H$176=I124,I124,"")</f>
        <v/>
      </c>
      <c r="S13" s="24" t="str">
        <f t="shared" ca="1" si="3"/>
        <v/>
      </c>
      <c r="T13" s="24" t="str">
        <f t="shared" ca="1" si="4"/>
        <v/>
      </c>
      <c r="U13" s="21"/>
      <c r="V13" s="11"/>
      <c r="W13" s="11"/>
      <c r="X13" s="11"/>
    </row>
    <row r="14" spans="1:24" ht="15.6" x14ac:dyDescent="0.3">
      <c r="A14" s="19"/>
      <c r="B14" s="11"/>
      <c r="C14" s="11"/>
      <c r="D14" s="28"/>
      <c r="E14" s="31">
        <f t="shared" ca="1" si="5"/>
        <v>5.8</v>
      </c>
      <c r="F14" s="13">
        <f t="shared" ca="1" si="10"/>
        <v>6</v>
      </c>
      <c r="G14" s="13">
        <f t="shared" ca="1" si="6"/>
        <v>10.199999999999999</v>
      </c>
      <c r="H14" s="13">
        <f t="shared" ca="1" si="11"/>
        <v>10</v>
      </c>
      <c r="I14" s="13">
        <f t="shared" ca="1" si="7"/>
        <v>14.5</v>
      </c>
      <c r="J14" s="13">
        <f t="shared" ca="1" si="12"/>
        <v>15</v>
      </c>
      <c r="K14" s="13">
        <f t="shared" ca="1" si="8"/>
        <v>18.899999999999999</v>
      </c>
      <c r="L14" s="13">
        <f t="shared" ca="1" si="13"/>
        <v>19</v>
      </c>
      <c r="M14" s="13">
        <f t="shared" ca="1" si="9"/>
        <v>25.9</v>
      </c>
      <c r="N14" s="32">
        <f t="shared" ca="1" si="14"/>
        <v>26</v>
      </c>
      <c r="O14" s="21"/>
      <c r="P14" s="22" t="str">
        <f t="shared" ca="1" si="1"/>
        <v/>
      </c>
      <c r="Q14" s="22" t="str">
        <f t="shared" ca="1" si="2"/>
        <v/>
      </c>
      <c r="R14" s="23" t="str">
        <f t="shared" ca="1" si="15"/>
        <v/>
      </c>
      <c r="S14" s="24" t="str">
        <f t="shared" ca="1" si="3"/>
        <v/>
      </c>
      <c r="T14" s="24" t="str">
        <f t="shared" ca="1" si="4"/>
        <v/>
      </c>
      <c r="U14" s="21"/>
      <c r="V14" s="11"/>
      <c r="W14" s="11"/>
      <c r="X14" s="11"/>
    </row>
    <row r="15" spans="1:24" ht="15.6" x14ac:dyDescent="0.3">
      <c r="A15" s="19"/>
      <c r="B15" s="11"/>
      <c r="C15" s="11"/>
      <c r="D15" s="28"/>
      <c r="E15" s="31">
        <f t="shared" ca="1" si="5"/>
        <v>6</v>
      </c>
      <c r="F15" s="13">
        <f t="shared" ca="1" si="10"/>
        <v>6</v>
      </c>
      <c r="G15" s="13">
        <f t="shared" ca="1" si="6"/>
        <v>10.199999999999999</v>
      </c>
      <c r="H15" s="13">
        <f t="shared" ca="1" si="11"/>
        <v>10</v>
      </c>
      <c r="I15" s="13">
        <f t="shared" ca="1" si="7"/>
        <v>14.5</v>
      </c>
      <c r="J15" s="13">
        <f t="shared" ca="1" si="12"/>
        <v>15</v>
      </c>
      <c r="K15" s="13">
        <f t="shared" ca="1" si="8"/>
        <v>19</v>
      </c>
      <c r="L15" s="13">
        <f t="shared" ca="1" si="13"/>
        <v>19</v>
      </c>
      <c r="M15" s="13">
        <f t="shared" ca="1" si="9"/>
        <v>25.9</v>
      </c>
      <c r="N15" s="32">
        <f t="shared" ca="1" si="14"/>
        <v>26</v>
      </c>
      <c r="O15" s="21"/>
      <c r="P15" s="22" t="str">
        <f t="shared" ca="1" si="1"/>
        <v/>
      </c>
      <c r="Q15" s="22" t="str">
        <f t="shared" ca="1" si="2"/>
        <v/>
      </c>
      <c r="R15" s="23" t="str">
        <f t="shared" ca="1" si="15"/>
        <v/>
      </c>
      <c r="S15" s="24" t="str">
        <f t="shared" ca="1" si="3"/>
        <v/>
      </c>
      <c r="T15" s="24" t="str">
        <f t="shared" ca="1" si="4"/>
        <v/>
      </c>
      <c r="U15" s="21"/>
      <c r="V15" s="11"/>
      <c r="W15" s="11"/>
      <c r="X15" s="11"/>
    </row>
    <row r="16" spans="1:24" ht="15.6" x14ac:dyDescent="0.3">
      <c r="A16" s="19"/>
      <c r="B16" s="11"/>
      <c r="C16" s="11"/>
      <c r="D16" s="28"/>
      <c r="E16" s="31">
        <f t="shared" ca="1" si="5"/>
        <v>6.3</v>
      </c>
      <c r="F16" s="13">
        <f t="shared" ca="1" si="10"/>
        <v>6</v>
      </c>
      <c r="G16" s="13">
        <f t="shared" ca="1" si="6"/>
        <v>10.3</v>
      </c>
      <c r="H16" s="13">
        <f t="shared" ca="1" si="11"/>
        <v>10</v>
      </c>
      <c r="I16" s="13">
        <f t="shared" ca="1" si="7"/>
        <v>15</v>
      </c>
      <c r="J16" s="13">
        <f t="shared" ca="1" si="12"/>
        <v>15</v>
      </c>
      <c r="K16" s="13">
        <f t="shared" ca="1" si="8"/>
        <v>19</v>
      </c>
      <c r="L16" s="13">
        <f t="shared" ca="1" si="13"/>
        <v>19</v>
      </c>
      <c r="M16" s="13">
        <f t="shared" ca="1" si="9"/>
        <v>26.1</v>
      </c>
      <c r="N16" s="32">
        <f t="shared" ca="1" si="14"/>
        <v>26</v>
      </c>
      <c r="O16" s="21"/>
      <c r="P16" s="22" t="str">
        <f t="shared" ca="1" si="1"/>
        <v/>
      </c>
      <c r="Q16" s="22" t="str">
        <f t="shared" ca="1" si="2"/>
        <v/>
      </c>
      <c r="R16" s="23" t="str">
        <f t="shared" ca="1" si="15"/>
        <v/>
      </c>
      <c r="S16" s="24" t="str">
        <f t="shared" ca="1" si="3"/>
        <v/>
      </c>
      <c r="T16" s="24" t="str">
        <f t="shared" ca="1" si="4"/>
        <v/>
      </c>
      <c r="U16" s="21"/>
      <c r="V16" s="11"/>
      <c r="W16" s="11"/>
      <c r="X16" s="11"/>
    </row>
    <row r="17" spans="1:24" ht="15.6" x14ac:dyDescent="0.3">
      <c r="A17" s="19"/>
      <c r="B17" s="11"/>
      <c r="C17" s="11"/>
      <c r="D17" s="28"/>
      <c r="E17" s="31">
        <f t="shared" ca="1" si="5"/>
        <v>6.6</v>
      </c>
      <c r="F17" s="13">
        <f t="shared" ca="1" si="10"/>
        <v>7</v>
      </c>
      <c r="G17" s="13">
        <f t="shared" ca="1" si="6"/>
        <v>10.5</v>
      </c>
      <c r="H17" s="13">
        <f t="shared" ca="1" si="11"/>
        <v>11</v>
      </c>
      <c r="I17" s="13">
        <f t="shared" ca="1" si="7"/>
        <v>15.1</v>
      </c>
      <c r="J17" s="13">
        <f t="shared" ca="1" si="12"/>
        <v>15</v>
      </c>
      <c r="K17" s="13">
        <f t="shared" ca="1" si="8"/>
        <v>19.600000000000001</v>
      </c>
      <c r="L17" s="13">
        <f t="shared" ca="1" si="13"/>
        <v>20</v>
      </c>
      <c r="M17" s="13">
        <f t="shared" ca="1" si="9"/>
        <v>26.3</v>
      </c>
      <c r="N17" s="32">
        <f t="shared" ca="1" si="14"/>
        <v>26</v>
      </c>
      <c r="O17" s="21"/>
      <c r="P17" s="22" t="str">
        <f t="shared" ca="1" si="1"/>
        <v/>
      </c>
      <c r="Q17" s="22" t="str">
        <f t="shared" ca="1" si="2"/>
        <v/>
      </c>
      <c r="R17" s="23" t="str">
        <f t="shared" ca="1" si="15"/>
        <v/>
      </c>
      <c r="S17" s="24" t="str">
        <f t="shared" ca="1" si="3"/>
        <v/>
      </c>
      <c r="T17" s="24" t="str">
        <f t="shared" ca="1" si="4"/>
        <v/>
      </c>
      <c r="U17" s="21"/>
      <c r="V17" s="11"/>
      <c r="W17" s="11"/>
      <c r="X17" s="11"/>
    </row>
    <row r="18" spans="1:24" ht="15.6" x14ac:dyDescent="0.3">
      <c r="A18" s="19"/>
      <c r="B18" s="11"/>
      <c r="C18" s="11"/>
      <c r="D18" s="28"/>
      <c r="E18" s="31">
        <f t="shared" ca="1" si="5"/>
        <v>7</v>
      </c>
      <c r="F18" s="13">
        <f t="shared" ca="1" si="10"/>
        <v>7</v>
      </c>
      <c r="G18" s="13">
        <f t="shared" ca="1" si="6"/>
        <v>11.1</v>
      </c>
      <c r="H18" s="13">
        <f t="shared" ca="1" si="11"/>
        <v>11</v>
      </c>
      <c r="I18" s="13">
        <f t="shared" ca="1" si="7"/>
        <v>15.1</v>
      </c>
      <c r="J18" s="13">
        <f t="shared" ca="1" si="12"/>
        <v>15</v>
      </c>
      <c r="K18" s="13">
        <f t="shared" ca="1" si="8"/>
        <v>20.2</v>
      </c>
      <c r="L18" s="13">
        <f t="shared" ca="1" si="13"/>
        <v>20</v>
      </c>
      <c r="M18" s="13">
        <f t="shared" ca="1" si="9"/>
        <v>29.8</v>
      </c>
      <c r="N18" s="32">
        <f t="shared" ca="1" si="14"/>
        <v>30</v>
      </c>
      <c r="O18" s="21"/>
      <c r="P18" s="22" t="str">
        <f t="shared" ca="1" si="1"/>
        <v/>
      </c>
      <c r="Q18" s="22" t="str">
        <f t="shared" ca="1" si="2"/>
        <v/>
      </c>
      <c r="R18" s="23" t="str">
        <f t="shared" ca="1" si="15"/>
        <v/>
      </c>
      <c r="S18" s="24" t="str">
        <f t="shared" ca="1" si="3"/>
        <v/>
      </c>
      <c r="T18" s="24" t="str">
        <f t="shared" ca="1" si="4"/>
        <v/>
      </c>
      <c r="U18" s="21"/>
      <c r="V18" s="11"/>
      <c r="W18" s="11"/>
      <c r="X18" s="11"/>
    </row>
    <row r="19" spans="1:24" ht="15.6" x14ac:dyDescent="0.3">
      <c r="A19" s="19"/>
      <c r="B19" s="11"/>
      <c r="C19" s="11"/>
      <c r="D19" s="28"/>
      <c r="E19" s="31">
        <f t="shared" ca="1" si="5"/>
        <v>7.1</v>
      </c>
      <c r="F19" s="13">
        <f t="shared" ca="1" si="10"/>
        <v>7</v>
      </c>
      <c r="G19" s="13">
        <f t="shared" ca="1" si="6"/>
        <v>11.4</v>
      </c>
      <c r="H19" s="13">
        <f t="shared" ca="1" si="11"/>
        <v>11</v>
      </c>
      <c r="I19" s="13">
        <f t="shared" ca="1" si="7"/>
        <v>15.2</v>
      </c>
      <c r="J19" s="13">
        <f t="shared" ca="1" si="12"/>
        <v>15</v>
      </c>
      <c r="K19" s="13">
        <f t="shared" ca="1" si="8"/>
        <v>20.3</v>
      </c>
      <c r="L19" s="13">
        <f t="shared" ca="1" si="13"/>
        <v>20</v>
      </c>
      <c r="M19" s="13">
        <f t="shared" ca="1" si="9"/>
        <v>30.2</v>
      </c>
      <c r="N19" s="32">
        <f t="shared" ca="1" si="14"/>
        <v>30</v>
      </c>
      <c r="O19" s="21"/>
      <c r="P19" s="22" t="str">
        <f t="shared" ca="1" si="1"/>
        <v/>
      </c>
      <c r="Q19" s="22" t="str">
        <f t="shared" ca="1" si="2"/>
        <v/>
      </c>
      <c r="R19" s="23" t="str">
        <f t="shared" ca="1" si="15"/>
        <v/>
      </c>
      <c r="S19" s="24" t="str">
        <f t="shared" ca="1" si="3"/>
        <v/>
      </c>
      <c r="T19" s="24" t="str">
        <f t="shared" ca="1" si="4"/>
        <v/>
      </c>
      <c r="U19" s="21"/>
      <c r="V19" s="11"/>
      <c r="W19" s="11"/>
      <c r="X19" s="11"/>
    </row>
    <row r="20" spans="1:24" ht="15.6" x14ac:dyDescent="0.3">
      <c r="A20" s="25"/>
      <c r="D20" s="20"/>
      <c r="E20" s="31">
        <f t="shared" ca="1" si="5"/>
        <v>7.1</v>
      </c>
      <c r="F20" s="13">
        <f t="shared" ca="1" si="10"/>
        <v>7</v>
      </c>
      <c r="G20" s="13">
        <f t="shared" ca="1" si="6"/>
        <v>11.6</v>
      </c>
      <c r="H20" s="13">
        <f t="shared" ca="1" si="11"/>
        <v>12</v>
      </c>
      <c r="I20" s="13">
        <f t="shared" ca="1" si="7"/>
        <v>15.3</v>
      </c>
      <c r="J20" s="13">
        <f t="shared" ca="1" si="12"/>
        <v>15</v>
      </c>
      <c r="K20" s="13">
        <f t="shared" ca="1" si="8"/>
        <v>20.399999999999999</v>
      </c>
      <c r="L20" s="13">
        <f t="shared" ca="1" si="13"/>
        <v>20</v>
      </c>
      <c r="M20" s="13">
        <f t="shared" ca="1" si="9"/>
        <v>32</v>
      </c>
      <c r="N20" s="32">
        <f t="shared" ca="1" si="14"/>
        <v>32</v>
      </c>
      <c r="O20" s="21"/>
      <c r="P20" s="22" t="str">
        <f t="shared" ca="1" si="1"/>
        <v/>
      </c>
      <c r="Q20" s="22" t="str">
        <f t="shared" ca="1" si="2"/>
        <v/>
      </c>
      <c r="R20" s="23" t="str">
        <f t="shared" ca="1" si="15"/>
        <v/>
      </c>
      <c r="S20" s="24" t="str">
        <f t="shared" ca="1" si="3"/>
        <v/>
      </c>
      <c r="T20" s="24" t="str">
        <f t="shared" ca="1" si="4"/>
        <v/>
      </c>
      <c r="U20" s="21"/>
      <c r="V20" s="11"/>
      <c r="W20" s="11"/>
      <c r="X20" s="11"/>
    </row>
    <row r="21" spans="1:24" ht="16.2" thickBot="1" x14ac:dyDescent="0.35">
      <c r="A21" s="25"/>
      <c r="D21" s="20"/>
      <c r="E21" s="31">
        <f t="shared" ca="1" si="5"/>
        <v>8.1</v>
      </c>
      <c r="F21" s="13">
        <f t="shared" ca="1" si="10"/>
        <v>8</v>
      </c>
      <c r="G21" s="13">
        <f t="shared" ca="1" si="6"/>
        <v>11.8</v>
      </c>
      <c r="H21" s="13">
        <f t="shared" ca="1" si="11"/>
        <v>12</v>
      </c>
      <c r="I21" s="13">
        <f t="shared" ca="1" si="7"/>
        <v>15.4</v>
      </c>
      <c r="J21" s="13">
        <f t="shared" ca="1" si="12"/>
        <v>15</v>
      </c>
      <c r="K21" s="13">
        <f t="shared" ca="1" si="8"/>
        <v>20.6</v>
      </c>
      <c r="L21" s="13">
        <f t="shared" ca="1" si="13"/>
        <v>21</v>
      </c>
      <c r="M21" s="13">
        <f t="shared" ca="1" si="9"/>
        <v>32.299999999999997</v>
      </c>
      <c r="N21" s="32">
        <f t="shared" ca="1" si="14"/>
        <v>32</v>
      </c>
      <c r="O21" s="21"/>
      <c r="P21" s="22" t="str">
        <f t="shared" ca="1" si="1"/>
        <v/>
      </c>
      <c r="Q21" s="22" t="str">
        <f t="shared" ca="1" si="2"/>
        <v/>
      </c>
      <c r="R21" s="23" t="str">
        <f t="shared" ca="1" si="15"/>
        <v/>
      </c>
      <c r="S21" s="24" t="str">
        <f t="shared" ca="1" si="3"/>
        <v/>
      </c>
      <c r="T21" s="24" t="str">
        <f t="shared" ca="1" si="4"/>
        <v/>
      </c>
      <c r="U21" s="21"/>
      <c r="V21" s="11"/>
      <c r="W21" s="11"/>
      <c r="X21" s="11"/>
    </row>
    <row r="22" spans="1:24" ht="16.2" thickBot="1" x14ac:dyDescent="0.35">
      <c r="A22" s="35" t="s">
        <v>140</v>
      </c>
      <c r="B22" s="36">
        <f>'NUR MIT PASSWORT'!$J$20</f>
        <v>1</v>
      </c>
      <c r="C22" s="36">
        <f>ROUND((B46),2)</f>
        <v>13.21</v>
      </c>
      <c r="D22" s="36">
        <f>'NUR MIT PASSWORT'!$J$21</f>
        <v>50</v>
      </c>
      <c r="E22" s="31">
        <f t="shared" ca="1" si="5"/>
        <v>8.1999999999999993</v>
      </c>
      <c r="F22" s="13">
        <f t="shared" ca="1" si="10"/>
        <v>8</v>
      </c>
      <c r="G22" s="13">
        <f t="shared" ca="1" si="6"/>
        <v>11.8</v>
      </c>
      <c r="H22" s="13">
        <f t="shared" ca="1" si="11"/>
        <v>12</v>
      </c>
      <c r="I22" s="13">
        <f t="shared" ca="1" si="7"/>
        <v>15.5</v>
      </c>
      <c r="J22" s="13">
        <f t="shared" ca="1" si="12"/>
        <v>16</v>
      </c>
      <c r="K22" s="13">
        <f t="shared" ca="1" si="8"/>
        <v>21.3</v>
      </c>
      <c r="L22" s="13">
        <f t="shared" ca="1" si="13"/>
        <v>21</v>
      </c>
      <c r="M22" s="13">
        <f t="shared" ca="1" si="9"/>
        <v>34.299999999999997</v>
      </c>
      <c r="N22" s="32">
        <f t="shared" ca="1" si="14"/>
        <v>34</v>
      </c>
      <c r="O22" s="21"/>
      <c r="P22" s="22" t="str">
        <f t="shared" ca="1" si="1"/>
        <v/>
      </c>
      <c r="Q22" s="22" t="str">
        <f t="shared" ca="1" si="2"/>
        <v/>
      </c>
      <c r="R22" s="23" t="str">
        <f t="shared" ca="1" si="15"/>
        <v/>
      </c>
      <c r="S22" s="24" t="str">
        <f t="shared" ca="1" si="3"/>
        <v/>
      </c>
      <c r="T22" s="24" t="str">
        <f t="shared" ca="1" si="4"/>
        <v/>
      </c>
      <c r="U22" s="21"/>
      <c r="V22" s="11"/>
      <c r="W22" s="11"/>
      <c r="X22" s="11"/>
    </row>
    <row r="23" spans="1:24" ht="15" thickBot="1" x14ac:dyDescent="0.35">
      <c r="A23" s="35" t="s">
        <v>55</v>
      </c>
      <c r="B23" s="36">
        <f>'FALL 1'!$B$23</f>
        <v>1</v>
      </c>
      <c r="C23" s="37"/>
      <c r="D23" s="36">
        <f>'FALL 1'!$D$23</f>
        <v>50</v>
      </c>
      <c r="E23" s="31">
        <f t="shared" ca="1" si="5"/>
        <v>8.3000000000000007</v>
      </c>
      <c r="F23" s="13">
        <f t="shared" ca="1" si="10"/>
        <v>8</v>
      </c>
      <c r="G23" s="13">
        <f t="shared" ca="1" si="6"/>
        <v>11.9</v>
      </c>
      <c r="H23" s="13">
        <f t="shared" ca="1" si="11"/>
        <v>12</v>
      </c>
      <c r="I23" s="13">
        <f t="shared" ca="1" si="7"/>
        <v>15.7</v>
      </c>
      <c r="J23" s="13">
        <f t="shared" ca="1" si="12"/>
        <v>16</v>
      </c>
      <c r="K23" s="13">
        <f t="shared" ca="1" si="8"/>
        <v>21.4</v>
      </c>
      <c r="L23" s="13">
        <f t="shared" ca="1" si="13"/>
        <v>21</v>
      </c>
      <c r="M23" s="13">
        <f t="shared" ca="1" si="9"/>
        <v>36</v>
      </c>
      <c r="N23" s="32">
        <f t="shared" ca="1" si="14"/>
        <v>36</v>
      </c>
      <c r="O23" s="11"/>
      <c r="P23" s="11"/>
      <c r="Q23" s="11"/>
      <c r="R23" s="11"/>
      <c r="S23" s="11"/>
      <c r="T23" s="11"/>
      <c r="U23" s="11"/>
      <c r="V23" s="11"/>
      <c r="W23" s="11"/>
      <c r="X23" s="11"/>
    </row>
    <row r="24" spans="1:24" ht="15" thickBot="1" x14ac:dyDescent="0.35">
      <c r="A24" s="38" t="s">
        <v>56</v>
      </c>
      <c r="B24" s="13"/>
      <c r="C24" s="13"/>
      <c r="D24" s="32"/>
      <c r="E24" s="31">
        <f t="shared" ca="1" si="5"/>
        <v>9.1</v>
      </c>
      <c r="F24" s="13">
        <f t="shared" ca="1" si="10"/>
        <v>9</v>
      </c>
      <c r="G24" s="13">
        <f t="shared" ca="1" si="6"/>
        <v>12</v>
      </c>
      <c r="H24" s="13">
        <f t="shared" ca="1" si="11"/>
        <v>12</v>
      </c>
      <c r="I24" s="13">
        <f t="shared" ca="1" si="7"/>
        <v>16.100000000000001</v>
      </c>
      <c r="J24" s="13">
        <f t="shared" ca="1" si="12"/>
        <v>16</v>
      </c>
      <c r="K24" s="13">
        <f t="shared" ca="1" si="8"/>
        <v>21.6</v>
      </c>
      <c r="L24" s="13">
        <f t="shared" ca="1" si="13"/>
        <v>22</v>
      </c>
      <c r="M24" s="13">
        <f t="shared" ca="1" si="9"/>
        <v>38.5</v>
      </c>
      <c r="N24" s="32">
        <f t="shared" ca="1" si="14"/>
        <v>39</v>
      </c>
      <c r="O24" s="11"/>
      <c r="P24" s="11"/>
      <c r="Q24" s="11"/>
      <c r="R24" s="11"/>
      <c r="S24" s="11"/>
      <c r="T24" s="11"/>
      <c r="U24" s="11"/>
      <c r="V24" s="11"/>
      <c r="W24" s="11"/>
      <c r="X24" s="11"/>
    </row>
    <row r="25" spans="1:24" ht="15" thickBot="1" x14ac:dyDescent="0.35">
      <c r="A25" s="35" t="s">
        <v>73</v>
      </c>
      <c r="B25" s="39">
        <v>70</v>
      </c>
      <c r="C25" s="37" t="s">
        <v>22</v>
      </c>
      <c r="D25" s="36">
        <f>ROUND(((B34-B35)/(B36-B35))*98+1,2)</f>
        <v>99.92</v>
      </c>
      <c r="E25" s="31">
        <f t="shared" ca="1" si="5"/>
        <v>9.1</v>
      </c>
      <c r="F25" s="13">
        <f t="shared" ca="1" si="10"/>
        <v>9</v>
      </c>
      <c r="G25" s="13">
        <f t="shared" ca="1" si="6"/>
        <v>12.5</v>
      </c>
      <c r="H25" s="13">
        <f t="shared" ca="1" si="11"/>
        <v>13</v>
      </c>
      <c r="I25" s="13">
        <f t="shared" ca="1" si="7"/>
        <v>16.100000000000001</v>
      </c>
      <c r="J25" s="13">
        <f t="shared" ca="1" si="12"/>
        <v>16</v>
      </c>
      <c r="K25" s="13">
        <f t="shared" ca="1" si="8"/>
        <v>22.4</v>
      </c>
      <c r="L25" s="13">
        <f t="shared" ca="1" si="13"/>
        <v>22</v>
      </c>
      <c r="M25" s="13">
        <f t="shared" ca="1" si="9"/>
        <v>41.4</v>
      </c>
      <c r="N25" s="32">
        <f t="shared" ca="1" si="14"/>
        <v>41</v>
      </c>
      <c r="O25" s="11"/>
      <c r="P25" s="11"/>
      <c r="Q25" s="11"/>
      <c r="R25" s="11"/>
      <c r="S25" s="11"/>
      <c r="T25" s="11"/>
      <c r="U25" s="11"/>
      <c r="V25" s="11"/>
      <c r="W25" s="11"/>
      <c r="X25" s="11"/>
    </row>
    <row r="26" spans="1:24" ht="15" thickBot="1" x14ac:dyDescent="0.35">
      <c r="A26" s="35" t="s">
        <v>31</v>
      </c>
      <c r="B26" s="39">
        <v>99</v>
      </c>
      <c r="C26" s="37" t="s">
        <v>21</v>
      </c>
      <c r="D26" s="36">
        <f>ROUND((LN((LN((B41/100)))/-B50)/B51),2)</f>
        <v>50</v>
      </c>
      <c r="E26" s="40">
        <f t="shared" ca="1" si="5"/>
        <v>9.3000000000000007</v>
      </c>
      <c r="F26" s="41">
        <f t="shared" ca="1" si="10"/>
        <v>9</v>
      </c>
      <c r="G26" s="41">
        <f t="shared" ca="1" si="6"/>
        <v>12.6</v>
      </c>
      <c r="H26" s="41">
        <f t="shared" ca="1" si="11"/>
        <v>13</v>
      </c>
      <c r="I26" s="41">
        <f t="shared" ca="1" si="7"/>
        <v>16.2</v>
      </c>
      <c r="J26" s="41">
        <f t="shared" ca="1" si="12"/>
        <v>16</v>
      </c>
      <c r="K26" s="41">
        <f t="shared" ca="1" si="8"/>
        <v>23.1</v>
      </c>
      <c r="L26" s="41">
        <f t="shared" ca="1" si="13"/>
        <v>23</v>
      </c>
      <c r="M26" s="41">
        <f t="shared" ca="1" si="9"/>
        <v>43.8</v>
      </c>
      <c r="N26" s="42">
        <f t="shared" ca="1" si="14"/>
        <v>44</v>
      </c>
      <c r="O26" s="11"/>
      <c r="P26" s="11"/>
      <c r="Q26" s="11"/>
      <c r="R26" s="11"/>
      <c r="S26" s="11"/>
      <c r="T26" s="11"/>
      <c r="U26" s="11"/>
      <c r="V26" s="11"/>
      <c r="W26" s="11"/>
      <c r="X26" s="11"/>
    </row>
    <row r="27" spans="1:24" x14ac:dyDescent="0.3">
      <c r="D27" s="11"/>
      <c r="E27" s="11"/>
      <c r="F27" s="11"/>
      <c r="G27" s="11"/>
      <c r="H27" s="11"/>
      <c r="I27" s="11"/>
      <c r="J27" s="11"/>
      <c r="K27" s="11"/>
      <c r="L27" s="11"/>
      <c r="M27" s="11"/>
      <c r="N27" s="11"/>
      <c r="O27" s="11"/>
      <c r="P27" s="11"/>
      <c r="Q27" s="11"/>
      <c r="R27" s="11"/>
      <c r="S27" s="11"/>
      <c r="T27" s="11"/>
      <c r="U27" s="11"/>
    </row>
    <row r="28" spans="1:24" x14ac:dyDescent="0.3">
      <c r="D28" s="11"/>
      <c r="E28" s="11"/>
      <c r="F28" s="11"/>
      <c r="G28" s="11"/>
      <c r="H28" s="11"/>
      <c r="I28" s="11"/>
      <c r="J28" s="11"/>
      <c r="K28" s="11"/>
      <c r="L28" s="11"/>
      <c r="M28" s="11"/>
      <c r="N28" s="11"/>
      <c r="O28" s="11"/>
      <c r="P28" s="11"/>
      <c r="Q28" s="11"/>
      <c r="R28" s="11"/>
      <c r="S28" s="11"/>
      <c r="T28" s="11"/>
      <c r="U28" s="11"/>
    </row>
    <row r="29" spans="1:24" x14ac:dyDescent="0.3">
      <c r="C29" s="11"/>
      <c r="E29" s="11"/>
      <c r="F29" s="11"/>
      <c r="G29" s="11"/>
      <c r="H29" s="11"/>
      <c r="I29" s="11"/>
      <c r="J29" s="11"/>
      <c r="K29" s="11"/>
      <c r="L29" s="11"/>
      <c r="M29" s="11"/>
      <c r="N29" s="11"/>
      <c r="O29" s="11"/>
      <c r="P29" s="11"/>
      <c r="Q29" s="11"/>
      <c r="R29" s="11"/>
      <c r="S29" s="11"/>
      <c r="T29" s="11"/>
      <c r="U29" s="11"/>
    </row>
    <row r="30" spans="1:24" x14ac:dyDescent="0.3">
      <c r="A30" s="11"/>
      <c r="B30" s="45"/>
      <c r="C30" s="11"/>
      <c r="D30" s="11"/>
      <c r="E30" s="11"/>
      <c r="F30" s="11"/>
      <c r="G30" s="11"/>
      <c r="H30" s="11"/>
      <c r="I30" s="11"/>
      <c r="J30" s="11"/>
      <c r="K30" s="11"/>
      <c r="L30" s="11"/>
      <c r="M30" s="11"/>
      <c r="N30" s="11"/>
      <c r="O30" s="11"/>
      <c r="P30" s="11"/>
      <c r="Q30" s="11"/>
      <c r="R30" s="11"/>
      <c r="S30" s="11"/>
      <c r="T30" s="11"/>
      <c r="U30" s="11"/>
    </row>
    <row r="31" spans="1:24" x14ac:dyDescent="0.3">
      <c r="A31" s="11"/>
      <c r="B31" s="45"/>
      <c r="C31" s="11"/>
      <c r="D31" s="11"/>
      <c r="E31" s="11"/>
      <c r="F31" s="11"/>
      <c r="G31" s="11"/>
      <c r="H31" s="11"/>
      <c r="I31" s="11"/>
      <c r="J31" s="11"/>
      <c r="K31" s="11"/>
      <c r="L31" s="11"/>
      <c r="M31" s="11"/>
      <c r="N31" s="11"/>
      <c r="O31" s="11"/>
      <c r="P31" s="11"/>
      <c r="Q31" s="11"/>
      <c r="R31" s="11"/>
      <c r="S31" s="11"/>
      <c r="T31" s="11"/>
      <c r="U31" s="11"/>
    </row>
    <row r="32" spans="1:24" x14ac:dyDescent="0.3">
      <c r="A32" s="46"/>
      <c r="B32" s="45"/>
      <c r="C32" s="11"/>
      <c r="D32" s="11"/>
      <c r="E32" s="11"/>
      <c r="F32" s="11"/>
      <c r="G32" s="11"/>
      <c r="H32" s="11"/>
      <c r="I32" s="11"/>
      <c r="J32" s="11"/>
      <c r="K32" s="11"/>
      <c r="L32" s="11"/>
      <c r="M32" s="11"/>
      <c r="N32" s="11"/>
      <c r="O32" s="11"/>
      <c r="P32" s="11"/>
      <c r="Q32" s="11"/>
      <c r="R32" s="11"/>
      <c r="S32" s="11"/>
      <c r="T32" s="11"/>
      <c r="U32" s="11"/>
    </row>
    <row r="33" spans="1:21" x14ac:dyDescent="0.3">
      <c r="A33" s="11" t="s">
        <v>99</v>
      </c>
      <c r="B33" s="11" t="s">
        <v>100</v>
      </c>
      <c r="C33" s="11"/>
      <c r="D33" s="11"/>
      <c r="E33" s="11"/>
      <c r="F33" s="11"/>
      <c r="G33" s="11"/>
      <c r="H33" s="11"/>
      <c r="I33" s="11"/>
      <c r="J33" s="11"/>
      <c r="K33" s="11"/>
      <c r="L33" s="11"/>
      <c r="M33" s="11"/>
      <c r="N33" s="11"/>
      <c r="O33" s="11"/>
      <c r="P33" s="11"/>
      <c r="Q33" s="11"/>
      <c r="R33" s="11"/>
      <c r="S33" s="11"/>
      <c r="T33" s="11"/>
      <c r="U33" s="11"/>
    </row>
    <row r="34" spans="1:21" x14ac:dyDescent="0.3">
      <c r="A34" s="11" t="s">
        <v>101</v>
      </c>
      <c r="B34" s="11">
        <f>(EXP(-B50*EXP(B51*B25)))*100</f>
        <v>99.917579040782954</v>
      </c>
      <c r="C34" s="11"/>
      <c r="D34" s="11"/>
      <c r="E34" s="11"/>
      <c r="F34" s="11"/>
      <c r="G34" s="11"/>
      <c r="H34" s="11"/>
      <c r="I34" s="11"/>
      <c r="J34" s="11"/>
      <c r="K34" s="11"/>
      <c r="L34" s="11"/>
      <c r="M34" s="11"/>
      <c r="N34" s="11"/>
      <c r="O34" s="11"/>
      <c r="P34" s="11"/>
      <c r="Q34" s="11"/>
      <c r="R34" s="11"/>
      <c r="S34" s="11"/>
      <c r="T34" s="11"/>
      <c r="U34" s="11"/>
    </row>
    <row r="35" spans="1:21" x14ac:dyDescent="0.3">
      <c r="A35" s="11" t="s">
        <v>102</v>
      </c>
      <c r="B35" s="11">
        <f>(EXP(-B50*EXP(B51*K75)))*100</f>
        <v>1.0053521858188716</v>
      </c>
      <c r="C35" s="43"/>
      <c r="D35" s="13"/>
      <c r="E35" s="13"/>
      <c r="F35" s="13"/>
      <c r="G35" s="11"/>
      <c r="H35" s="11"/>
      <c r="J35" s="11"/>
      <c r="K35" s="11"/>
      <c r="L35" s="11"/>
      <c r="M35" s="11"/>
      <c r="N35" s="11"/>
      <c r="O35" s="11"/>
      <c r="P35" s="11"/>
      <c r="Q35" s="11"/>
      <c r="R35" s="11"/>
      <c r="S35" s="11"/>
      <c r="T35" s="11"/>
      <c r="U35" s="11"/>
    </row>
    <row r="36" spans="1:21" x14ac:dyDescent="0.3">
      <c r="A36" s="11" t="s">
        <v>103</v>
      </c>
      <c r="B36" s="11">
        <f>(EXP(-B50*EXP(B51*K74)))*100</f>
        <v>99.000033249502223</v>
      </c>
      <c r="C36" s="11"/>
      <c r="D36" s="11"/>
      <c r="E36" s="9" t="s">
        <v>24</v>
      </c>
      <c r="F36" s="11">
        <f>((0.01065^F38)/(4.60517^F39))^(1/(F38-F39))</f>
        <v>5.2124207374937628</v>
      </c>
      <c r="G36" s="11"/>
      <c r="H36" s="11"/>
      <c r="J36" s="11"/>
      <c r="K36" s="11"/>
      <c r="L36" s="11"/>
      <c r="M36" s="11"/>
      <c r="N36" s="11"/>
      <c r="O36" s="11"/>
      <c r="P36" s="11"/>
      <c r="Q36" s="11"/>
      <c r="R36" s="11"/>
      <c r="S36" s="11"/>
      <c r="T36" s="11"/>
      <c r="U36" s="11"/>
    </row>
    <row r="37" spans="1:21" x14ac:dyDescent="0.3">
      <c r="A37" s="11"/>
      <c r="B37" s="11"/>
      <c r="C37" s="13"/>
      <c r="D37" s="13"/>
      <c r="E37" s="9" t="s">
        <v>25</v>
      </c>
      <c r="F37" s="11">
        <f>(LN(0.01005/F36))/F39</f>
        <v>-0.12502454050500295</v>
      </c>
      <c r="G37" s="11"/>
      <c r="H37" s="11"/>
      <c r="J37" s="11"/>
      <c r="K37" s="11"/>
      <c r="L37" s="11"/>
      <c r="M37" s="11"/>
      <c r="N37" s="11"/>
      <c r="O37" s="11"/>
      <c r="P37" s="11"/>
      <c r="Q37" s="11"/>
      <c r="R37" s="11"/>
      <c r="S37" s="11"/>
      <c r="T37" s="11"/>
      <c r="U37" s="11"/>
    </row>
    <row r="38" spans="1:21" x14ac:dyDescent="0.3">
      <c r="A38" s="11" t="s">
        <v>104</v>
      </c>
      <c r="B38" s="11"/>
      <c r="C38" s="45"/>
      <c r="D38" s="11"/>
      <c r="E38" s="45" t="s">
        <v>26</v>
      </c>
      <c r="F38" s="11">
        <f>'NUR MIT PASSWORT'!$J$20</f>
        <v>1</v>
      </c>
      <c r="G38" s="11"/>
      <c r="H38" s="11"/>
      <c r="J38" s="11"/>
      <c r="K38" s="11"/>
      <c r="L38" s="11"/>
      <c r="M38" s="11"/>
      <c r="N38" s="11"/>
      <c r="O38" s="11"/>
      <c r="P38" s="11"/>
      <c r="Q38" s="11"/>
      <c r="R38" s="11"/>
      <c r="S38" s="11"/>
      <c r="T38" s="11"/>
      <c r="U38" s="11"/>
    </row>
    <row r="39" spans="1:21" x14ac:dyDescent="0.3">
      <c r="A39" s="11" t="s">
        <v>105</v>
      </c>
      <c r="B39" s="11" t="s">
        <v>113</v>
      </c>
      <c r="E39" s="45" t="s">
        <v>27</v>
      </c>
      <c r="F39" s="11">
        <f>'NUR MIT PASSWORT'!$J$21</f>
        <v>50</v>
      </c>
      <c r="G39" s="11"/>
      <c r="H39" s="11"/>
      <c r="J39" s="11"/>
      <c r="K39" s="11"/>
      <c r="L39" s="11"/>
      <c r="M39" s="11"/>
      <c r="N39" s="11"/>
      <c r="O39" s="11"/>
      <c r="P39" s="11"/>
      <c r="Q39" s="11"/>
      <c r="R39" s="11"/>
      <c r="S39" s="11"/>
      <c r="T39" s="11"/>
      <c r="U39" s="11"/>
    </row>
    <row r="40" spans="1:21" x14ac:dyDescent="0.3">
      <c r="A40" s="11" t="s">
        <v>107</v>
      </c>
      <c r="B40" s="11" t="s">
        <v>108</v>
      </c>
      <c r="C40" s="13"/>
      <c r="D40" s="13"/>
      <c r="G40" s="11"/>
      <c r="H40" s="11"/>
      <c r="J40" s="11"/>
      <c r="K40" s="11"/>
      <c r="L40" s="11"/>
      <c r="M40" s="11"/>
      <c r="N40" s="11"/>
      <c r="O40" s="11"/>
      <c r="P40" s="11"/>
      <c r="Q40" s="11"/>
      <c r="R40" s="11"/>
      <c r="S40" s="11"/>
      <c r="T40" s="11"/>
      <c r="U40" s="11"/>
    </row>
    <row r="41" spans="1:21" x14ac:dyDescent="0.3">
      <c r="A41" s="11" t="s">
        <v>109</v>
      </c>
      <c r="B41" s="11">
        <f>((B26-1)/98)*(B36-B35)+B35</f>
        <v>99.000033249502223</v>
      </c>
      <c r="C41" s="45"/>
      <c r="D41" s="11"/>
      <c r="G41" s="11"/>
      <c r="H41" s="11"/>
      <c r="J41" s="11"/>
      <c r="K41" s="11"/>
      <c r="L41" s="11"/>
      <c r="M41" s="11"/>
      <c r="N41" s="11"/>
      <c r="O41" s="11"/>
      <c r="P41" s="11"/>
      <c r="Q41" s="11"/>
      <c r="R41" s="11"/>
      <c r="S41" s="11"/>
      <c r="T41" s="11"/>
      <c r="U41" s="11"/>
    </row>
    <row r="42" spans="1:21" x14ac:dyDescent="0.3">
      <c r="A42" s="11" t="s">
        <v>110</v>
      </c>
      <c r="B42" s="11"/>
      <c r="C42" s="45"/>
      <c r="D42" s="11"/>
      <c r="E42" s="11"/>
      <c r="G42" s="11"/>
      <c r="H42" s="11"/>
      <c r="J42" s="11"/>
      <c r="K42" s="11"/>
      <c r="L42" s="11"/>
      <c r="M42" s="11"/>
      <c r="N42" s="11"/>
      <c r="O42" s="11"/>
      <c r="P42" s="11"/>
      <c r="Q42" s="11"/>
      <c r="R42" s="11"/>
      <c r="S42" s="11"/>
      <c r="T42" s="11"/>
      <c r="U42" s="11"/>
    </row>
    <row r="43" spans="1:21" x14ac:dyDescent="0.3">
      <c r="A43" s="11" t="s">
        <v>111</v>
      </c>
      <c r="B43" s="11"/>
      <c r="C43" s="46"/>
      <c r="D43" s="11"/>
      <c r="E43" s="11"/>
      <c r="F43" s="11"/>
      <c r="G43" s="11"/>
      <c r="H43" s="11"/>
      <c r="J43" s="11"/>
      <c r="K43" s="11"/>
      <c r="L43" s="11"/>
      <c r="M43" s="11"/>
      <c r="N43" s="11"/>
      <c r="O43" s="11"/>
      <c r="P43" s="11"/>
      <c r="Q43" s="11"/>
      <c r="R43" s="11"/>
      <c r="S43" s="11"/>
      <c r="T43" s="11"/>
      <c r="U43" s="11"/>
    </row>
    <row r="44" spans="1:21" x14ac:dyDescent="0.3">
      <c r="A44" s="11"/>
      <c r="B44" s="11"/>
      <c r="C44" s="11" t="s">
        <v>14</v>
      </c>
      <c r="D44" s="11" t="s">
        <v>15</v>
      </c>
      <c r="E44" s="11" t="s">
        <v>16</v>
      </c>
      <c r="F44" s="11" t="s">
        <v>19</v>
      </c>
      <c r="G44" s="11" t="s">
        <v>37</v>
      </c>
      <c r="H44" s="11" t="s">
        <v>38</v>
      </c>
      <c r="J44" s="11"/>
      <c r="K44" s="11"/>
      <c r="L44" s="11"/>
      <c r="M44" s="11"/>
      <c r="N44" s="11"/>
      <c r="O44" s="11"/>
      <c r="P44" s="11"/>
      <c r="Q44" s="11"/>
      <c r="R44" s="11"/>
      <c r="S44" s="11"/>
      <c r="T44" s="11"/>
      <c r="U44" s="11"/>
    </row>
    <row r="45" spans="1:21" x14ac:dyDescent="0.3">
      <c r="A45" s="9" t="s">
        <v>9</v>
      </c>
      <c r="C45" s="11">
        <f>(B54)</f>
        <v>1</v>
      </c>
      <c r="D45" s="9">
        <f>(EXP((-B50*(EXP(B51*C45)))))*100</f>
        <v>1.0053521858188716</v>
      </c>
      <c r="E45" s="11">
        <f>(-B50*B51*(EXP((C45*B51+(-B50*EXP(B51*C45))))))</f>
        <v>5.7816991503224771E-3</v>
      </c>
      <c r="F45" s="11">
        <f>E45/B57</f>
        <v>0.12570562286777448</v>
      </c>
      <c r="G45" s="11"/>
      <c r="H45" s="11"/>
      <c r="J45" s="11">
        <v>2.1933294375846042E-12</v>
      </c>
      <c r="K45" s="11"/>
      <c r="L45" s="11"/>
      <c r="M45" s="11"/>
      <c r="N45" s="11"/>
      <c r="O45" s="11"/>
      <c r="P45" s="11"/>
      <c r="Q45" s="11"/>
      <c r="R45" s="11"/>
      <c r="S45" s="11"/>
      <c r="T45" s="11"/>
      <c r="U45" s="11"/>
    </row>
    <row r="46" spans="1:21" x14ac:dyDescent="0.3">
      <c r="A46" s="9" t="s">
        <v>30</v>
      </c>
      <c r="B46" s="11">
        <f>((LN(1/B50)))/B51</f>
        <v>13.20576243755143</v>
      </c>
      <c r="C46" s="11">
        <f t="shared" ref="C46:C64" si="16">(C45+1*$C$70)</f>
        <v>3.45</v>
      </c>
      <c r="D46" s="9">
        <f>(EXP((-B50*(EXP(B51*C46)))))*100</f>
        <v>3.3836856891381446</v>
      </c>
      <c r="E46" s="11">
        <f>(-B50*B51*(EXP((C46*B51+(-B50*EXP(B51*C46))))))</f>
        <v>1.4325126998636877E-2</v>
      </c>
      <c r="F46" s="11">
        <f>E46/B57</f>
        <v>0.31145671284594317</v>
      </c>
      <c r="G46" s="11"/>
      <c r="H46" s="11"/>
      <c r="J46" s="11">
        <v>5.6376974720530211E-7</v>
      </c>
      <c r="K46" s="11"/>
      <c r="L46" s="11"/>
      <c r="M46" s="11"/>
      <c r="N46" s="11"/>
      <c r="O46" s="11"/>
      <c r="P46" s="11"/>
      <c r="Q46" s="11"/>
      <c r="R46" s="11"/>
      <c r="S46" s="11"/>
      <c r="T46" s="11"/>
      <c r="U46" s="11"/>
    </row>
    <row r="47" spans="1:21" x14ac:dyDescent="0.3">
      <c r="B47" s="11"/>
      <c r="C47" s="11">
        <f t="shared" si="16"/>
        <v>5.9</v>
      </c>
      <c r="D47" s="9">
        <f>(EXP((-B50*(EXP(B51*C47)))))*100</f>
        <v>8.2679582968775449</v>
      </c>
      <c r="E47" s="11">
        <f>(-B50*B51*(EXP((C47*B51+(-B50*EXP(B51*C47))))))</f>
        <v>2.5767835954674002E-2</v>
      </c>
      <c r="F47" s="11">
        <f>E47/B57</f>
        <v>0.56024393252220051</v>
      </c>
      <c r="G47" s="11"/>
      <c r="H47" s="11"/>
      <c r="J47" s="11">
        <v>1.0430729948270455E-3</v>
      </c>
      <c r="K47" s="11"/>
      <c r="L47" s="11"/>
      <c r="M47" s="11"/>
      <c r="N47" s="11"/>
      <c r="O47" s="11"/>
      <c r="P47" s="11"/>
      <c r="Q47" s="11"/>
      <c r="R47" s="11"/>
      <c r="S47" s="11"/>
      <c r="T47" s="11"/>
      <c r="U47" s="11"/>
    </row>
    <row r="48" spans="1:21" x14ac:dyDescent="0.3">
      <c r="B48" s="11"/>
      <c r="C48" s="11">
        <f t="shared" si="16"/>
        <v>8.3500000000000014</v>
      </c>
      <c r="D48" s="9">
        <f>(EXP((-B50*(EXP(B51*C48)))))*100</f>
        <v>15.960032601657062</v>
      </c>
      <c r="E48" s="11">
        <f>(-B50*B51*(EXP((C48*B51+(-B50*EXP(B51*C48))))))</f>
        <v>3.6617159098561121E-2</v>
      </c>
      <c r="F48" s="11">
        <f>E48/B57</f>
        <v>0.79612976608723884</v>
      </c>
      <c r="G48" s="11"/>
      <c r="H48" s="11"/>
      <c r="J48" s="9">
        <v>9.8051482901951023E-2</v>
      </c>
      <c r="K48" s="11"/>
      <c r="L48" s="11"/>
      <c r="M48" s="11"/>
      <c r="N48" s="11"/>
      <c r="O48" s="11"/>
      <c r="P48" s="11"/>
      <c r="Q48" s="11"/>
      <c r="R48" s="11"/>
      <c r="S48" s="11"/>
      <c r="T48" s="11"/>
      <c r="U48" s="11"/>
    </row>
    <row r="49" spans="1:21" x14ac:dyDescent="0.3">
      <c r="C49" s="11">
        <f t="shared" si="16"/>
        <v>10.8</v>
      </c>
      <c r="D49" s="9">
        <f>(EXP((-B50*(EXP(B51*C49)))))*100</f>
        <v>25.900414305432136</v>
      </c>
      <c r="E49" s="11">
        <f>(-B50*B51*(EXP((C49*B51+(-B50*EXP(B51*C49))))))</f>
        <v>4.3745036910835255E-2</v>
      </c>
      <c r="F49" s="11">
        <f>E49/B57</f>
        <v>0.95110398678278196</v>
      </c>
      <c r="G49" s="11"/>
      <c r="H49" s="11"/>
      <c r="J49" s="9">
        <v>1.5243163421224453</v>
      </c>
      <c r="K49" s="11"/>
      <c r="L49" s="11"/>
      <c r="M49" s="11"/>
      <c r="N49" s="11"/>
      <c r="O49" s="11"/>
      <c r="P49" s="11"/>
      <c r="Q49" s="11"/>
      <c r="R49" s="11"/>
      <c r="S49" s="11"/>
      <c r="T49" s="11"/>
      <c r="U49" s="11"/>
    </row>
    <row r="50" spans="1:21" x14ac:dyDescent="0.3">
      <c r="A50" s="9" t="s">
        <v>10</v>
      </c>
      <c r="B50" s="11">
        <f>$F$36</f>
        <v>5.2124207374937628</v>
      </c>
      <c r="C50" s="11">
        <f t="shared" si="16"/>
        <v>13.25</v>
      </c>
      <c r="D50" s="9">
        <f>(EXP((-B50*(EXP(B51*C50)))))*100</f>
        <v>36.991409140602258</v>
      </c>
      <c r="E50" s="11">
        <f>(-B50*B51*(EXP((C50*B51+(-B50*EXP(B51*C50))))))</f>
        <v>4.5993255927218223E-2</v>
      </c>
      <c r="F50" s="11">
        <f>E50/B57</f>
        <v>0.99998473350614492</v>
      </c>
      <c r="G50" s="11"/>
      <c r="H50" s="11"/>
      <c r="J50" s="9">
        <v>7.993194225532382</v>
      </c>
      <c r="K50" s="11"/>
      <c r="L50" s="11"/>
      <c r="M50" s="11"/>
      <c r="N50" s="11"/>
      <c r="O50" s="11"/>
      <c r="P50" s="11"/>
      <c r="Q50" s="11"/>
      <c r="R50" s="11"/>
      <c r="S50" s="11"/>
      <c r="T50" s="11"/>
      <c r="U50" s="11"/>
    </row>
    <row r="51" spans="1:21" x14ac:dyDescent="0.3">
      <c r="A51" s="9" t="s">
        <v>11</v>
      </c>
      <c r="B51" s="11">
        <f>$F$37</f>
        <v>-0.12502454050500295</v>
      </c>
      <c r="C51" s="11">
        <f t="shared" si="16"/>
        <v>15.7</v>
      </c>
      <c r="D51" s="9">
        <f>(EXP((-B50*(EXP(B51*C51)))))*100</f>
        <v>48.089900873080389</v>
      </c>
      <c r="E51" s="11">
        <f>(-B50*B51*(EXP((C51*B51+(-B50*EXP(B51*C51))))))</f>
        <v>4.401678968738703E-2</v>
      </c>
      <c r="F51" s="11">
        <f>E51/B57</f>
        <v>0.95701243188764051</v>
      </c>
      <c r="G51" s="11"/>
      <c r="H51" s="11"/>
      <c r="J51" s="11">
        <v>21.74350051690757</v>
      </c>
      <c r="L51" s="11"/>
      <c r="M51" s="11"/>
      <c r="N51" s="11"/>
      <c r="O51" s="11"/>
      <c r="P51" s="11"/>
      <c r="Q51" s="11"/>
      <c r="R51" s="11"/>
      <c r="S51" s="11"/>
      <c r="T51" s="11"/>
      <c r="U51" s="11"/>
    </row>
    <row r="52" spans="1:21" x14ac:dyDescent="0.3">
      <c r="B52" s="11"/>
      <c r="C52" s="11">
        <f t="shared" si="16"/>
        <v>18.149999999999999</v>
      </c>
      <c r="D52" s="9">
        <f>(EXP((-B50*(EXP(B51*C52)))))*100</f>
        <v>58.336629235524981</v>
      </c>
      <c r="E52" s="11">
        <f>(-B50*B51*(EXP((C52*B51+(-B50*EXP(B51*C52))))))</f>
        <v>3.9307644304775326E-2</v>
      </c>
      <c r="F52" s="11">
        <f>E52/B57</f>
        <v>0.85462625818590243</v>
      </c>
      <c r="G52" s="11"/>
      <c r="H52" s="11"/>
      <c r="J52" s="11">
        <v>39.792310024285754</v>
      </c>
      <c r="L52" s="11"/>
      <c r="M52" s="11"/>
      <c r="N52" s="11"/>
      <c r="O52" s="11"/>
      <c r="P52" s="11"/>
      <c r="Q52" s="11"/>
      <c r="R52" s="11"/>
      <c r="S52" s="11"/>
      <c r="T52" s="11"/>
      <c r="U52" s="11"/>
    </row>
    <row r="53" spans="1:21" x14ac:dyDescent="0.3">
      <c r="C53" s="11">
        <f t="shared" si="16"/>
        <v>20.599999999999998</v>
      </c>
      <c r="D53" s="9">
        <f>(EXP((-B50*(EXP(B51*C53)))))*100</f>
        <v>67.250539437111314</v>
      </c>
      <c r="E53" s="11">
        <f>(-B50*B51*(EXP((C53*B51+(-B50*EXP(B51*C53))))))</f>
        <v>3.3358204105540593E-2</v>
      </c>
      <c r="F53" s="11">
        <f>E53/B57</f>
        <v>0.7252736117553692</v>
      </c>
      <c r="G53" s="11"/>
      <c r="H53" s="11"/>
      <c r="J53" s="11">
        <v>57.320528447282591</v>
      </c>
      <c r="L53" s="11"/>
      <c r="M53" s="13"/>
      <c r="N53" s="11"/>
      <c r="O53" s="11"/>
      <c r="P53" s="11"/>
      <c r="Q53" s="11"/>
      <c r="R53" s="11"/>
      <c r="S53" s="11"/>
      <c r="T53" s="11"/>
      <c r="U53" s="11"/>
    </row>
    <row r="54" spans="1:21" x14ac:dyDescent="0.3">
      <c r="A54" s="9" t="s">
        <v>28</v>
      </c>
      <c r="B54" s="11">
        <f>$F$38</f>
        <v>1</v>
      </c>
      <c r="C54" s="11">
        <f t="shared" si="16"/>
        <v>23.049999999999997</v>
      </c>
      <c r="D54" s="9">
        <f>(EXP((-B50*(EXP(B51*C54)))))*100</f>
        <v>74.6718335548086</v>
      </c>
      <c r="E54" s="11">
        <f>(-B50*B51*(EXP((C54*B51+(-B50*EXP(B51*C54))))))</f>
        <v>2.7266846176400437E-2</v>
      </c>
      <c r="F54" s="11">
        <f>E54/B57</f>
        <v>0.59283539200635094</v>
      </c>
      <c r="G54" s="11"/>
      <c r="H54" s="11"/>
      <c r="J54" s="11">
        <v>71.455946202722359</v>
      </c>
      <c r="L54" s="11"/>
      <c r="M54" s="11"/>
      <c r="N54" s="11"/>
      <c r="O54" s="11"/>
      <c r="P54" s="11"/>
      <c r="Q54" s="11"/>
      <c r="R54" s="11"/>
      <c r="S54" s="11"/>
      <c r="T54" s="11"/>
      <c r="U54" s="11"/>
    </row>
    <row r="55" spans="1:21" x14ac:dyDescent="0.3">
      <c r="A55" s="9" t="s">
        <v>29</v>
      </c>
      <c r="B55" s="11">
        <f>$F$39</f>
        <v>50</v>
      </c>
      <c r="C55" s="11">
        <f t="shared" si="16"/>
        <v>25.499999999999996</v>
      </c>
      <c r="D55" s="9">
        <f>(EXP((-B50*(EXP(B51*C55)))))*100</f>
        <v>80.653522368683099</v>
      </c>
      <c r="E55" s="11">
        <f>(-B50*B51*(EXP((C55*B51+(-B50*EXP(B51*C55))))))</f>
        <v>2.1680666795519929E-2</v>
      </c>
      <c r="F55" s="11">
        <f>E55/B57</f>
        <v>0.47138075725844353</v>
      </c>
      <c r="G55" s="11"/>
      <c r="H55" s="11"/>
      <c r="J55" s="11">
        <v>81.630163458700238</v>
      </c>
      <c r="L55" s="11"/>
      <c r="M55" s="11"/>
      <c r="N55" s="11"/>
      <c r="O55" s="11"/>
      <c r="P55" s="11"/>
      <c r="Q55" s="11"/>
      <c r="R55" s="11"/>
      <c r="S55" s="11"/>
      <c r="T55" s="11"/>
      <c r="U55" s="11"/>
    </row>
    <row r="56" spans="1:21" x14ac:dyDescent="0.3">
      <c r="A56" s="9" t="s">
        <v>13</v>
      </c>
      <c r="B56" s="11">
        <f>(LN(((LN(0.5))/-B50)))/B51</f>
        <v>16.137290272816685</v>
      </c>
      <c r="C56" s="11">
        <f t="shared" si="16"/>
        <v>27.949999999999996</v>
      </c>
      <c r="D56" s="9">
        <f>(EXP((-B50*(EXP(B51*C56)))))*100</f>
        <v>85.361098932460038</v>
      </c>
      <c r="E56" s="11">
        <f>(-B50*B51*(EXP((C56*B51+(-B50*EXP(B51*C56))))))</f>
        <v>1.6891977595716017E-2</v>
      </c>
      <c r="F56" s="11">
        <f>E56/B57</f>
        <v>0.36726514298474677</v>
      </c>
      <c r="G56" s="11"/>
      <c r="H56" s="11"/>
      <c r="J56" s="11">
        <v>88.463626748547</v>
      </c>
      <c r="L56" s="11"/>
      <c r="M56" s="11"/>
      <c r="N56" s="11"/>
      <c r="O56" s="11"/>
      <c r="P56" s="11"/>
      <c r="Q56" s="11"/>
      <c r="R56" s="11"/>
      <c r="S56" s="11"/>
      <c r="T56" s="11"/>
      <c r="U56" s="11"/>
    </row>
    <row r="57" spans="1:21" x14ac:dyDescent="0.3">
      <c r="A57" s="9" t="s">
        <v>17</v>
      </c>
      <c r="B57" s="11">
        <f>(-B50*B51*EXP(B51*B46-B50*EXP(B51*B46)))</f>
        <v>4.599395809369683E-2</v>
      </c>
      <c r="C57" s="11">
        <f t="shared" si="16"/>
        <v>30.399999999999995</v>
      </c>
      <c r="D57" s="9">
        <f>(EXP((-B50*(EXP(B51*C57)))))*100</f>
        <v>89.001326138061316</v>
      </c>
      <c r="E57" s="11">
        <f>(-B50*B51*(EXP((C57*B51+(-B50*EXP(B51*C57))))))</f>
        <v>1.2965467481784693E-2</v>
      </c>
      <c r="F57" s="11">
        <f>E57/B57</f>
        <v>0.28189501445759513</v>
      </c>
      <c r="G57" s="11"/>
      <c r="H57" s="11"/>
      <c r="J57" s="11">
        <v>92.864578739800635</v>
      </c>
      <c r="L57" s="11"/>
      <c r="M57" s="11"/>
      <c r="N57" s="11"/>
      <c r="O57" s="11"/>
      <c r="P57" s="11"/>
      <c r="Q57" s="11"/>
      <c r="R57" s="11"/>
      <c r="S57" s="11"/>
      <c r="T57" s="11"/>
      <c r="U57" s="11"/>
    </row>
    <row r="58" spans="1:21" x14ac:dyDescent="0.3">
      <c r="C58" s="11">
        <f t="shared" si="16"/>
        <v>32.849999999999994</v>
      </c>
      <c r="D58" s="9">
        <f>(EXP((-B50*(EXP(B51*C58)))))*100</f>
        <v>91.779946021010545</v>
      </c>
      <c r="E58" s="11">
        <f>(-B50*B51*(EXP((C58*B51+(-B50*EXP(B51*C58))))))</f>
        <v>9.8426196684521603E-3</v>
      </c>
      <c r="F58" s="11">
        <f>E58/B57</f>
        <v>0.2139981005418411</v>
      </c>
      <c r="G58" s="11"/>
      <c r="H58" s="11"/>
      <c r="J58" s="11">
        <v>95.627760799466643</v>
      </c>
      <c r="L58" s="11"/>
      <c r="M58" s="11"/>
      <c r="N58" s="11"/>
      <c r="O58" s="11"/>
      <c r="P58" s="11"/>
      <c r="Q58" s="11"/>
      <c r="R58" s="11"/>
      <c r="S58" s="11"/>
      <c r="T58" s="11"/>
      <c r="U58" s="11"/>
    </row>
    <row r="59" spans="1:21" x14ac:dyDescent="0.3">
      <c r="C59" s="11">
        <f t="shared" si="16"/>
        <v>35.299999999999997</v>
      </c>
      <c r="D59" s="9">
        <f>(EXP((-B50*(EXP(B51*C59)))))*100</f>
        <v>93.880735389786651</v>
      </c>
      <c r="E59" s="11">
        <f>(-B50*B51*(EXP((C59*B51+(-B50*EXP(B51*C59))))))</f>
        <v>7.4115764374734572E-3</v>
      </c>
      <c r="F59" s="11">
        <f>E59/B57</f>
        <v>0.16114239227628391</v>
      </c>
      <c r="J59" s="11">
        <v>97.336170553322347</v>
      </c>
      <c r="L59" s="11"/>
      <c r="M59" s="11"/>
      <c r="N59" s="11"/>
      <c r="O59" s="11"/>
      <c r="P59" s="11"/>
      <c r="Q59" s="11"/>
      <c r="R59" s="11"/>
      <c r="S59" s="11"/>
      <c r="T59" s="11"/>
      <c r="U59" s="11"/>
    </row>
    <row r="60" spans="1:21" x14ac:dyDescent="0.3">
      <c r="C60" s="11">
        <f t="shared" si="16"/>
        <v>37.75</v>
      </c>
      <c r="D60" s="9">
        <f>(EXP((-B50*(EXP(B51*C60)))))*100</f>
        <v>95.457916421050072</v>
      </c>
      <c r="E60" s="11">
        <f>(-B50*B51*(EXP((C60*B51+(-B50*EXP(B51*C60))))))</f>
        <v>5.5477548668063717E-3</v>
      </c>
      <c r="F60" s="11">
        <f>E60/B57</f>
        <v>0.12061920949496745</v>
      </c>
      <c r="I60" s="47"/>
      <c r="J60" s="11">
        <v>98.382662943111455</v>
      </c>
      <c r="L60" s="11"/>
      <c r="M60" s="11"/>
      <c r="N60" s="11"/>
      <c r="O60" s="11"/>
      <c r="P60" s="11"/>
      <c r="Q60" s="11"/>
      <c r="R60" s="11"/>
      <c r="S60" s="11"/>
      <c r="T60" s="11"/>
      <c r="U60" s="11"/>
    </row>
    <row r="61" spans="1:21" x14ac:dyDescent="0.3">
      <c r="C61" s="11">
        <f t="shared" si="16"/>
        <v>40.200000000000003</v>
      </c>
      <c r="D61" s="9">
        <f>(EXP((-B50*(EXP(B51*C61)))))*100</f>
        <v>96.635878762002207</v>
      </c>
      <c r="E61" s="11">
        <f>(-B50*B51*(EXP((C61*B51+(-B50*EXP(B51*C61))))))</f>
        <v>4.1344230758355955E-3</v>
      </c>
      <c r="F61" s="11">
        <f>E61/B57</f>
        <v>8.9890569265926937E-2</v>
      </c>
      <c r="J61" s="11">
        <v>99.020103457515162</v>
      </c>
      <c r="L61" s="11"/>
      <c r="M61" s="11"/>
      <c r="N61" s="11"/>
      <c r="O61" s="11"/>
      <c r="P61" s="11"/>
      <c r="Q61" s="11"/>
      <c r="R61" s="11"/>
      <c r="S61" s="11"/>
      <c r="T61" s="11"/>
      <c r="U61" s="11"/>
    </row>
    <row r="62" spans="1:21" x14ac:dyDescent="0.3">
      <c r="C62" s="11">
        <f t="shared" si="16"/>
        <v>42.650000000000006</v>
      </c>
      <c r="D62" s="9">
        <f>(EXP((-B50*(EXP(B51*C62)))))*100</f>
        <v>97.512324720343528</v>
      </c>
      <c r="E62" s="11">
        <f>(-B50*B51*(EXP((C62*B51+(-B50*EXP(B51*C62))))))</f>
        <v>3.0711938484498645E-3</v>
      </c>
      <c r="F62" s="11">
        <f>E62/B57</f>
        <v>6.6773854126521703E-2</v>
      </c>
      <c r="J62" s="11">
        <v>99.407065946329183</v>
      </c>
      <c r="L62" s="11"/>
      <c r="M62" s="11"/>
      <c r="N62" s="11"/>
      <c r="O62" s="11"/>
      <c r="P62" s="11"/>
      <c r="Q62" s="11"/>
      <c r="R62" s="11"/>
      <c r="S62" s="11"/>
      <c r="T62" s="11"/>
      <c r="U62" s="11"/>
    </row>
    <row r="63" spans="1:21" x14ac:dyDescent="0.3">
      <c r="C63" s="11">
        <f t="shared" si="16"/>
        <v>45.100000000000009</v>
      </c>
      <c r="D63" s="9">
        <f>(EXP((-B50*(EXP(B51*C63)))))*100</f>
        <v>98.162603383194963</v>
      </c>
      <c r="E63" s="11">
        <f>(-B50*B51*(EXP((C63*B51+(-B50*EXP(B51*C63))))))</f>
        <v>2.2759619130591985E-3</v>
      </c>
      <c r="F63" s="11">
        <f>E63/B57</f>
        <v>4.9483932398744872E-2</v>
      </c>
      <c r="J63" s="11">
        <v>99.641492855133279</v>
      </c>
      <c r="L63" s="11"/>
      <c r="M63" s="11"/>
      <c r="N63" s="11"/>
      <c r="O63" s="11"/>
      <c r="P63" s="11"/>
      <c r="Q63" s="11"/>
      <c r="R63" s="11"/>
      <c r="S63" s="11"/>
      <c r="T63" s="11"/>
      <c r="U63" s="11"/>
    </row>
    <row r="64" spans="1:21" x14ac:dyDescent="0.3">
      <c r="C64" s="11">
        <f t="shared" si="16"/>
        <v>47.550000000000011</v>
      </c>
      <c r="D64" s="9">
        <f>(EXP((-B50*(EXP(B51*C64)))))*100</f>
        <v>98.644080999303029</v>
      </c>
      <c r="E64" s="11">
        <f>(-B50*B51*(EXP((C64*B51+(-B50*EXP(B51*C64))))))</f>
        <v>1.6836862169940135E-3</v>
      </c>
      <c r="F64" s="11">
        <f>E64/B57</f>
        <v>3.6606682416070464E-2</v>
      </c>
      <c r="J64" s="11">
        <v>99.783335925029618</v>
      </c>
      <c r="L64" s="11"/>
      <c r="M64" s="11"/>
      <c r="N64" s="11"/>
      <c r="O64" s="11"/>
      <c r="P64" s="11"/>
      <c r="Q64" s="11"/>
      <c r="R64" s="11"/>
      <c r="S64" s="11"/>
      <c r="T64" s="11"/>
      <c r="U64" s="11"/>
    </row>
    <row r="65" spans="1:24" x14ac:dyDescent="0.3">
      <c r="C65" s="11">
        <f>(B55)</f>
        <v>50</v>
      </c>
      <c r="D65" s="9">
        <f>(EXP((-B50*(EXP(B51*C65)))))*100</f>
        <v>99.000033249502223</v>
      </c>
      <c r="E65" s="11">
        <f>(-B50*B51*(EXP((C65*B51+(-B50*EXP(B51*C65))))))</f>
        <v>1.2439320835334036E-3</v>
      </c>
      <c r="F65" s="11">
        <f>E65/B57</f>
        <v>2.7045554135595829E-2</v>
      </c>
      <c r="J65" s="11">
        <v>99.869095750408022</v>
      </c>
      <c r="L65" s="11"/>
      <c r="M65" s="11"/>
      <c r="N65" s="11"/>
      <c r="O65" s="11"/>
      <c r="P65" s="11"/>
      <c r="Q65" s="11"/>
      <c r="R65" s="11"/>
      <c r="S65" s="11"/>
      <c r="T65" s="11"/>
      <c r="U65" s="11"/>
    </row>
    <row r="66" spans="1:24" ht="21" x14ac:dyDescent="0.4">
      <c r="A66" s="48"/>
      <c r="B66" s="9" t="s">
        <v>35</v>
      </c>
      <c r="C66" s="11">
        <f>'NUR MIT PASSWORT'!$J$22</f>
        <v>1</v>
      </c>
      <c r="G66" s="11">
        <v>0</v>
      </c>
      <c r="J66" s="11"/>
      <c r="L66" s="11"/>
      <c r="M66" s="11"/>
      <c r="N66" s="11"/>
      <c r="O66" s="11"/>
      <c r="P66" s="11"/>
      <c r="Q66" s="11"/>
      <c r="R66" s="11"/>
      <c r="S66" s="11"/>
      <c r="T66" s="11"/>
      <c r="U66" s="11"/>
    </row>
    <row r="67" spans="1:24" x14ac:dyDescent="0.3">
      <c r="B67" s="9" t="s">
        <v>35</v>
      </c>
      <c r="C67" s="11">
        <f>'NUR MIT PASSWORT'!$J$22</f>
        <v>1</v>
      </c>
      <c r="G67" s="11">
        <v>99</v>
      </c>
      <c r="H67" s="11"/>
      <c r="J67" s="11"/>
      <c r="L67" s="11"/>
      <c r="M67" s="11"/>
      <c r="N67" s="11"/>
      <c r="O67" s="11"/>
      <c r="P67" s="11"/>
      <c r="Q67" s="11"/>
      <c r="R67" s="11"/>
      <c r="S67" s="11"/>
      <c r="T67" s="11"/>
      <c r="U67" s="11"/>
    </row>
    <row r="68" spans="1:24" x14ac:dyDescent="0.3">
      <c r="A68" s="11"/>
      <c r="B68" s="9" t="s">
        <v>36</v>
      </c>
      <c r="C68" s="11">
        <f>'NUR MIT PASSWORT'!$J$23</f>
        <v>50</v>
      </c>
      <c r="D68" s="49"/>
      <c r="E68" s="11"/>
      <c r="F68" s="11"/>
      <c r="G68" s="11"/>
      <c r="H68" s="11">
        <v>0</v>
      </c>
      <c r="I68" s="11"/>
      <c r="J68" s="11"/>
      <c r="L68" s="11"/>
      <c r="M68" s="11"/>
      <c r="N68" s="11"/>
      <c r="O68" s="11"/>
      <c r="P68" s="11"/>
      <c r="Q68" s="11"/>
      <c r="R68" s="11"/>
      <c r="S68" s="11"/>
      <c r="T68" s="11"/>
      <c r="U68" s="11"/>
    </row>
    <row r="69" spans="1:24" x14ac:dyDescent="0.3">
      <c r="A69" s="11"/>
      <c r="B69" s="9" t="s">
        <v>36</v>
      </c>
      <c r="C69" s="11">
        <f>'NUR MIT PASSWORT'!$J$23</f>
        <v>50</v>
      </c>
      <c r="D69" s="11"/>
      <c r="E69" s="11"/>
      <c r="F69" s="11"/>
      <c r="G69" s="11"/>
      <c r="H69" s="11">
        <v>99</v>
      </c>
      <c r="I69" s="11"/>
      <c r="J69" s="11"/>
      <c r="L69" s="11"/>
      <c r="M69" s="11"/>
      <c r="N69" s="11"/>
      <c r="O69" s="11"/>
      <c r="P69" s="11"/>
      <c r="Q69" s="11"/>
      <c r="R69" s="11"/>
      <c r="S69" s="11"/>
      <c r="T69" s="11"/>
      <c r="U69" s="11"/>
    </row>
    <row r="70" spans="1:24" x14ac:dyDescent="0.3">
      <c r="A70" s="11"/>
      <c r="B70" s="11"/>
      <c r="C70" s="11">
        <f>(C65-C45)/20</f>
        <v>2.4500000000000002</v>
      </c>
      <c r="D70" s="11"/>
      <c r="E70" s="11"/>
      <c r="F70" s="11"/>
      <c r="G70" s="11"/>
      <c r="H70" s="11"/>
      <c r="I70" s="11"/>
      <c r="J70" s="11"/>
      <c r="L70" s="11"/>
      <c r="M70" s="11"/>
      <c r="N70" s="11"/>
      <c r="O70" s="11"/>
      <c r="P70" s="11"/>
      <c r="Q70" s="11"/>
      <c r="R70" s="11"/>
      <c r="S70" s="11"/>
      <c r="T70" s="11"/>
      <c r="U70" s="11"/>
    </row>
    <row r="71" spans="1:24" x14ac:dyDescent="0.3">
      <c r="A71" s="11"/>
      <c r="B71" s="11"/>
      <c r="C71" s="11"/>
      <c r="E71" s="11"/>
      <c r="F71" s="11"/>
      <c r="G71" s="11"/>
      <c r="H71" s="11"/>
      <c r="I71" s="11"/>
      <c r="J71" s="11"/>
      <c r="L71" s="11"/>
      <c r="M71" s="11"/>
      <c r="N71" s="11"/>
      <c r="O71" s="11"/>
      <c r="P71" s="11"/>
      <c r="Q71" s="11"/>
      <c r="R71" s="11"/>
      <c r="S71" s="11"/>
      <c r="T71" s="11"/>
      <c r="U71" s="11"/>
    </row>
    <row r="72" spans="1:24" x14ac:dyDescent="0.3">
      <c r="A72" s="11"/>
      <c r="B72" s="11"/>
      <c r="C72" s="11"/>
      <c r="E72" s="168" t="s">
        <v>82</v>
      </c>
      <c r="F72" s="148"/>
      <c r="G72" s="148"/>
      <c r="H72" s="148"/>
      <c r="I72" s="168" t="s">
        <v>83</v>
      </c>
      <c r="J72" s="148"/>
      <c r="L72" s="11"/>
      <c r="M72" s="148"/>
      <c r="N72" s="148"/>
      <c r="O72" s="148"/>
      <c r="P72" s="148"/>
      <c r="Q72" s="148"/>
      <c r="R72" s="148"/>
      <c r="S72" s="149"/>
      <c r="T72" s="149"/>
      <c r="U72" s="149"/>
      <c r="V72" s="149"/>
    </row>
    <row r="73" spans="1:24" ht="14.4" customHeight="1" x14ac:dyDescent="0.3">
      <c r="A73" s="11" t="s">
        <v>69</v>
      </c>
      <c r="B73" s="11" t="s">
        <v>70</v>
      </c>
      <c r="C73" s="13" t="s">
        <v>71</v>
      </c>
      <c r="D73" s="13" t="s">
        <v>129</v>
      </c>
      <c r="E73" s="11"/>
      <c r="F73" s="13" t="s">
        <v>80</v>
      </c>
      <c r="G73" s="13" t="s">
        <v>81</v>
      </c>
      <c r="H73" s="11"/>
      <c r="I73" s="11" t="s">
        <v>79</v>
      </c>
      <c r="J73" s="11"/>
      <c r="L73" s="11"/>
      <c r="M73" s="11"/>
      <c r="N73" s="11"/>
      <c r="O73" s="11"/>
      <c r="P73" s="11"/>
      <c r="Q73" s="11"/>
      <c r="R73" s="11"/>
      <c r="S73" s="11"/>
      <c r="T73" s="11"/>
      <c r="U73" s="11"/>
      <c r="V73" s="11"/>
      <c r="W73" s="11"/>
      <c r="X73" s="44"/>
    </row>
    <row r="74" spans="1:24" x14ac:dyDescent="0.3">
      <c r="A74" s="11">
        <f ca="1">IF(C74=0,"",RAND()*(99-1)+1)</f>
        <v>28.040272016733912</v>
      </c>
      <c r="B74" s="11">
        <f ca="1">IF(A74="","",SMALL(A74:A173,1))</f>
        <v>2.3210931377733552</v>
      </c>
      <c r="C74" s="13">
        <f>'FALL 3'!C74</f>
        <v>1</v>
      </c>
      <c r="D74" s="11">
        <f ca="1">IF(C74=0,"",(B74*0.01*(K77-K78)+K78))</f>
        <v>3.2799000033709116</v>
      </c>
      <c r="E74" s="11"/>
      <c r="F74" s="11">
        <f ca="1">IF(D74="","",LN((LN(D74*0.01)/-B50))/B51)</f>
        <v>3.3767519590966701</v>
      </c>
      <c r="G74" s="11">
        <f t="shared" ref="G74:G137" ca="1" si="17">D74</f>
        <v>3.2799000033709116</v>
      </c>
      <c r="H74" s="50" t="str">
        <f ca="1">IF(I176=C74,I74,"")</f>
        <v/>
      </c>
      <c r="I74" s="11">
        <f t="shared" ref="I74:I137" ca="1" si="18">IF(F74="","",ROUND(F74,1))</f>
        <v>3.4</v>
      </c>
      <c r="J74" s="13" t="s">
        <v>74</v>
      </c>
      <c r="K74" s="51">
        <f>'NUR MIT PASSWORT'!$J$23</f>
        <v>50</v>
      </c>
      <c r="L74" s="11"/>
      <c r="M74" s="11"/>
      <c r="N74" s="11"/>
      <c r="O74" s="11"/>
      <c r="Q74" s="11"/>
      <c r="R74" s="11"/>
      <c r="S74" s="11"/>
      <c r="T74" s="11"/>
      <c r="U74" s="11"/>
      <c r="V74" s="11"/>
      <c r="X74" s="11"/>
    </row>
    <row r="75" spans="1:24" x14ac:dyDescent="0.3">
      <c r="A75" s="11">
        <f t="shared" ref="A75:A138" ca="1" si="19">IF(C75=0,"",RAND()*(99-1)+1)</f>
        <v>14.49379961208353</v>
      </c>
      <c r="B75" s="11">
        <f ca="1">IF(A75="","",SMALL(A74:A173,2))</f>
        <v>3.6181460197162254</v>
      </c>
      <c r="C75" s="11">
        <f>'FALL 3'!C75</f>
        <v>2</v>
      </c>
      <c r="D75" s="11">
        <f ca="1">IF(C75=0,"",(B75*0.01*(K77-K78)+K78))</f>
        <v>4.5509428382581412</v>
      </c>
      <c r="E75" s="11"/>
      <c r="F75" s="11">
        <f ca="1">IF(D75="","",LN((LN(D75*0.01)/-B50))/B51)</f>
        <v>4.1825904110007057</v>
      </c>
      <c r="G75" s="11">
        <f t="shared" ca="1" si="17"/>
        <v>4.5509428382581412</v>
      </c>
      <c r="H75" s="50" t="str">
        <f ca="1">IF(I176=C75,I75,"")</f>
        <v/>
      </c>
      <c r="I75" s="11">
        <f t="shared" ca="1" si="18"/>
        <v>4.2</v>
      </c>
      <c r="J75" s="13" t="s">
        <v>75</v>
      </c>
      <c r="K75" s="51">
        <f>'NUR MIT PASSWORT'!$J$22</f>
        <v>1</v>
      </c>
      <c r="L75" s="11"/>
      <c r="M75" s="11"/>
      <c r="N75" s="11"/>
      <c r="O75" s="11"/>
      <c r="Q75" s="11"/>
      <c r="R75" s="11"/>
      <c r="S75" s="11"/>
      <c r="T75" s="11"/>
      <c r="U75" s="11"/>
      <c r="V75" s="11"/>
      <c r="X75" s="11"/>
    </row>
    <row r="76" spans="1:24" x14ac:dyDescent="0.3">
      <c r="A76" s="11">
        <f t="shared" ca="1" si="19"/>
        <v>30.928527190486321</v>
      </c>
      <c r="B76" s="11">
        <f ca="1">IF(A76="","",SMALL(A74:A173,3))</f>
        <v>3.6249997631134772</v>
      </c>
      <c r="C76" s="11">
        <f>'FALL 3'!C76</f>
        <v>3</v>
      </c>
      <c r="D76" s="11">
        <f ca="1">IF(C76=0,"",(B76*0.01*(K77-K78)+K78))</f>
        <v>4.5576591422412012</v>
      </c>
      <c r="E76" s="11"/>
      <c r="F76" s="11">
        <f ca="1">IF(D76="","",LN((LN(D76*0.01)/-B50))/B51)</f>
        <v>4.1864088133836601</v>
      </c>
      <c r="G76" s="11">
        <f t="shared" ca="1" si="17"/>
        <v>4.5576591422412012</v>
      </c>
      <c r="H76" s="50" t="str">
        <f ca="1">IF(I176=C76,I76,"")</f>
        <v/>
      </c>
      <c r="I76" s="11">
        <f t="shared" ca="1" si="18"/>
        <v>4.2</v>
      </c>
      <c r="J76" s="11"/>
      <c r="L76" s="11"/>
      <c r="M76" s="11"/>
      <c r="N76" s="11"/>
      <c r="O76" s="11"/>
      <c r="Q76" s="11"/>
      <c r="R76" s="11"/>
      <c r="S76" s="11"/>
      <c r="T76" s="11"/>
      <c r="U76" s="11"/>
      <c r="V76" s="11"/>
      <c r="X76" s="11"/>
    </row>
    <row r="77" spans="1:24" x14ac:dyDescent="0.3">
      <c r="A77" s="11">
        <f t="shared" ca="1" si="19"/>
        <v>75.576022612968487</v>
      </c>
      <c r="B77" s="11">
        <f ca="1">IF(A77="","",SMALL(A74:A173,4))</f>
        <v>4.3786339455653129</v>
      </c>
      <c r="C77" s="11">
        <f>'FALL 3'!C77</f>
        <v>4</v>
      </c>
      <c r="D77" s="11">
        <f ca="1">IF(C77=0,"",(B77*0.01*(K77-K78)+K78))</f>
        <v>5.296180555721774</v>
      </c>
      <c r="E77" s="11"/>
      <c r="F77" s="11">
        <f ca="1">IF(D77="","",LN((LN(D77*0.01)/-B50))/B51)</f>
        <v>4.5851205003780606</v>
      </c>
      <c r="G77" s="11">
        <f t="shared" ca="1" si="17"/>
        <v>5.296180555721774</v>
      </c>
      <c r="H77" s="50" t="str">
        <f ca="1">IF(I176=C77,I77,"")</f>
        <v/>
      </c>
      <c r="I77" s="11">
        <f t="shared" ca="1" si="18"/>
        <v>4.5999999999999996</v>
      </c>
      <c r="J77" s="13" t="s">
        <v>77</v>
      </c>
      <c r="K77" s="51">
        <f>(EXP(-B50*(EXP(B51*K74))))*100</f>
        <v>99.000033249502223</v>
      </c>
      <c r="L77" s="11"/>
      <c r="M77" s="11"/>
      <c r="N77" s="11"/>
      <c r="O77" s="11"/>
      <c r="Q77" s="11"/>
      <c r="R77" s="11"/>
      <c r="S77" s="11"/>
      <c r="T77" s="11"/>
      <c r="U77" s="11"/>
      <c r="V77" s="11"/>
      <c r="X77" s="11"/>
    </row>
    <row r="78" spans="1:24" x14ac:dyDescent="0.3">
      <c r="A78" s="11">
        <f t="shared" ca="1" si="19"/>
        <v>7.7325278885367439</v>
      </c>
      <c r="B78" s="11">
        <f ca="1">IF(A78="","",SMALL(A74:A173,5))</f>
        <v>5.7089520016855859</v>
      </c>
      <c r="C78" s="11">
        <f>'FALL 3'!C78</f>
        <v>5</v>
      </c>
      <c r="D78" s="11">
        <f ca="1">IF(C78=0,"",(B78*0.01*(K77-K78)+K78))</f>
        <v>6.5998214919494282</v>
      </c>
      <c r="E78" s="11"/>
      <c r="F78" s="11">
        <f ca="1">IF(D78="","",LN((LN(D78*0.01)/-B50))/B51)</f>
        <v>5.2077865922966229</v>
      </c>
      <c r="G78" s="11">
        <f t="shared" ca="1" si="17"/>
        <v>6.5998214919494282</v>
      </c>
      <c r="H78" s="50" t="str">
        <f ca="1">IF(I176=C78,I78,"")</f>
        <v/>
      </c>
      <c r="I78" s="11">
        <f t="shared" ca="1" si="18"/>
        <v>5.2</v>
      </c>
      <c r="J78" s="13" t="s">
        <v>78</v>
      </c>
      <c r="K78" s="51">
        <f>(EXP(-B50*(EXP(B51*K75))))*100</f>
        <v>1.0053521858188716</v>
      </c>
      <c r="L78" s="11"/>
      <c r="M78" s="11"/>
      <c r="N78" s="11"/>
      <c r="O78" s="11"/>
      <c r="Q78" s="11"/>
      <c r="R78" s="11"/>
      <c r="S78" s="11"/>
      <c r="T78" s="11"/>
      <c r="U78" s="11"/>
      <c r="V78" s="11"/>
      <c r="X78" s="11"/>
    </row>
    <row r="79" spans="1:24" x14ac:dyDescent="0.3">
      <c r="A79" s="11">
        <f t="shared" ca="1" si="19"/>
        <v>66.060567090885314</v>
      </c>
      <c r="B79" s="11">
        <f ca="1">IF(A79="","",SMALL(A74:A173,6))</f>
        <v>6.0767745995305233</v>
      </c>
      <c r="C79" s="11">
        <f>'FALL 3'!C79</f>
        <v>6</v>
      </c>
      <c r="D79" s="11">
        <f ca="1">IF(C79=0,"",(B79*0.01*(K77-K78)+K78))</f>
        <v>6.9602680735877289</v>
      </c>
      <c r="E79" s="11"/>
      <c r="F79" s="11">
        <f ca="1">IF(D79="","",LN((LN(D79*0.01)/-B50))/B51)</f>
        <v>5.3658126500100698</v>
      </c>
      <c r="G79" s="11">
        <f t="shared" ca="1" si="17"/>
        <v>6.9602680735877289</v>
      </c>
      <c r="H79" s="50" t="str">
        <f ca="1">IF(I176=C79,I79,"")</f>
        <v/>
      </c>
      <c r="I79" s="11">
        <f t="shared" ca="1" si="18"/>
        <v>5.4</v>
      </c>
      <c r="J79" s="11"/>
      <c r="L79" s="11"/>
      <c r="M79" s="11"/>
      <c r="N79" s="11"/>
      <c r="O79" s="11"/>
      <c r="Q79" s="11"/>
      <c r="R79" s="11"/>
      <c r="S79" s="11"/>
      <c r="T79" s="11"/>
      <c r="U79" s="11"/>
      <c r="V79" s="11"/>
      <c r="X79" s="11"/>
    </row>
    <row r="80" spans="1:24" x14ac:dyDescent="0.3">
      <c r="A80" s="11">
        <f t="shared" ca="1" si="19"/>
        <v>22.402120716537858</v>
      </c>
      <c r="B80" s="11">
        <f ca="1">IF(A80="","",SMALL(A74:A173,7))</f>
        <v>7.1222617714573033</v>
      </c>
      <c r="C80" s="11">
        <f>'FALL 3'!C80</f>
        <v>7</v>
      </c>
      <c r="D80" s="11">
        <f ca="1">IF(C80=0,"",(B80*0.01*(K77-K78)+K78))</f>
        <v>7.9847898932791006</v>
      </c>
      <c r="E80" s="11"/>
      <c r="F80" s="11">
        <f ca="1">IF(D80="","",LN((LN(D80*0.01)/-B50))/B51)</f>
        <v>5.788956260971811</v>
      </c>
      <c r="G80" s="11">
        <f t="shared" ca="1" si="17"/>
        <v>7.9847898932791006</v>
      </c>
      <c r="H80" s="50" t="str">
        <f ca="1">IF(I176=C80,I80,"")</f>
        <v/>
      </c>
      <c r="I80" s="11">
        <f t="shared" ca="1" si="18"/>
        <v>5.8</v>
      </c>
      <c r="J80" s="11"/>
      <c r="L80" s="11"/>
      <c r="M80" s="11"/>
      <c r="N80" s="11"/>
      <c r="O80" s="11"/>
      <c r="Q80" s="11"/>
      <c r="R80" s="11"/>
      <c r="S80" s="11"/>
      <c r="T80" s="11"/>
      <c r="U80" s="11"/>
      <c r="V80" s="11"/>
      <c r="X80" s="11"/>
    </row>
    <row r="81" spans="1:24" x14ac:dyDescent="0.3">
      <c r="A81" s="11">
        <f t="shared" ca="1" si="19"/>
        <v>42.764662812604882</v>
      </c>
      <c r="B81" s="11">
        <f ca="1">IF(A81="","",SMALL(A74:A173,8))</f>
        <v>7.236393778707586</v>
      </c>
      <c r="C81" s="11">
        <f>'FALL 3'!C81</f>
        <v>8</v>
      </c>
      <c r="D81" s="11">
        <f ca="1">IF(C81=0,"",(B81*0.01*(K77-K78)+K78))</f>
        <v>8.096633189775595</v>
      </c>
      <c r="E81" s="11"/>
      <c r="F81" s="11">
        <f ca="1">IF(D81="","",LN((LN(D81*0.01)/-B50))/B51)</f>
        <v>5.8330941086367227</v>
      </c>
      <c r="G81" s="11">
        <f t="shared" ca="1" si="17"/>
        <v>8.096633189775595</v>
      </c>
      <c r="H81" s="50" t="str">
        <f ca="1">IF(I176=C81,I81,"")</f>
        <v/>
      </c>
      <c r="I81" s="11">
        <f t="shared" ca="1" si="18"/>
        <v>5.8</v>
      </c>
      <c r="J81" s="11"/>
      <c r="L81" s="11"/>
      <c r="M81" s="11"/>
      <c r="N81" s="11"/>
      <c r="O81" s="11"/>
      <c r="Q81" s="11"/>
      <c r="R81" s="11"/>
      <c r="S81" s="11"/>
      <c r="T81" s="11"/>
      <c r="U81" s="11"/>
      <c r="V81" s="11"/>
      <c r="X81" s="11"/>
    </row>
    <row r="82" spans="1:24" x14ac:dyDescent="0.3">
      <c r="A82" s="11">
        <f t="shared" ca="1" si="19"/>
        <v>33.68582618215472</v>
      </c>
      <c r="B82" s="11">
        <f ca="1">IF(A82="","",SMALL(A74:A173,9))</f>
        <v>7.7325278885367439</v>
      </c>
      <c r="C82" s="11">
        <f>'FALL 3'!C82</f>
        <v>9</v>
      </c>
      <c r="D82" s="11">
        <f ca="1">IF(C82=0,"",(B82*0.01*(K77-K78)+K78))</f>
        <v>8.5828182283508223</v>
      </c>
      <c r="E82" s="11"/>
      <c r="F82" s="11">
        <f ca="1">IF(D82="","",LN((LN(D82*0.01)/-B50))/B51)</f>
        <v>6.0208299524442035</v>
      </c>
      <c r="G82" s="11">
        <f t="shared" ca="1" si="17"/>
        <v>8.5828182283508223</v>
      </c>
      <c r="H82" s="50" t="str">
        <f ca="1">IF(I176=C82,I82,"")</f>
        <v/>
      </c>
      <c r="I82" s="11">
        <f t="shared" ca="1" si="18"/>
        <v>6</v>
      </c>
      <c r="J82" s="11"/>
      <c r="L82" s="11"/>
      <c r="M82" s="11"/>
      <c r="N82" s="11"/>
      <c r="O82" s="11"/>
      <c r="Q82" s="11"/>
      <c r="R82" s="11"/>
      <c r="S82" s="11"/>
      <c r="T82" s="11"/>
      <c r="U82" s="11"/>
      <c r="V82" s="11"/>
      <c r="X82" s="11"/>
    </row>
    <row r="83" spans="1:24" x14ac:dyDescent="0.3">
      <c r="A83" s="11">
        <f t="shared" ca="1" si="19"/>
        <v>61.62027419648895</v>
      </c>
      <c r="B83" s="11">
        <f ca="1">IF(A83="","",SMALL(A74:A1173,10))</f>
        <v>8.6086870533608284</v>
      </c>
      <c r="C83" s="11">
        <f>'FALL 3'!C83</f>
        <v>10</v>
      </c>
      <c r="D83" s="11">
        <f ca="1">IF(C83=0,"",(B83*0.01*(K77-K78)+K78))</f>
        <v>9.4414076075304152</v>
      </c>
      <c r="E83" s="11"/>
      <c r="F83" s="11">
        <f ca="1">IF(D83="","",LN((LN(D83*0.01)/-B50))/B51)</f>
        <v>6.3375971760118563</v>
      </c>
      <c r="G83" s="11">
        <f t="shared" ca="1" si="17"/>
        <v>9.4414076075304152</v>
      </c>
      <c r="H83" s="50" t="str">
        <f ca="1">IF(I176=C83,I83,"")</f>
        <v/>
      </c>
      <c r="I83" s="11">
        <f t="shared" ca="1" si="18"/>
        <v>6.3</v>
      </c>
      <c r="J83" s="11"/>
      <c r="L83" s="11"/>
      <c r="M83" s="11"/>
      <c r="N83" s="11"/>
      <c r="O83" s="11"/>
      <c r="Q83" s="11"/>
      <c r="R83" s="11"/>
      <c r="S83" s="11"/>
      <c r="T83" s="11"/>
      <c r="U83" s="11"/>
      <c r="V83" s="11"/>
      <c r="X83" s="11"/>
    </row>
    <row r="84" spans="1:24" x14ac:dyDescent="0.3">
      <c r="A84" s="11">
        <f t="shared" ca="1" si="19"/>
        <v>7.1222617714573033</v>
      </c>
      <c r="B84" s="11">
        <f ca="1">IF(A84="","",SMALL(A74:A173,11))</f>
        <v>9.2836085325027931</v>
      </c>
      <c r="C84" s="11">
        <f>'FALL 3'!C84</f>
        <v>11</v>
      </c>
      <c r="D84" s="11">
        <f ca="1">IF(C84=0,"",(B84*0.01*(K77-K78)+K78))</f>
        <v>10.102794758445878</v>
      </c>
      <c r="E84" s="11"/>
      <c r="F84" s="11">
        <f ca="1">IF(D84="","",LN((LN(D84*0.01)/-B50))/B51)</f>
        <v>6.570416938562353</v>
      </c>
      <c r="G84" s="11">
        <f t="shared" ca="1" si="17"/>
        <v>10.102794758445878</v>
      </c>
      <c r="H84" s="50" t="str">
        <f ca="1">IF(I176=C84,I84,"")</f>
        <v/>
      </c>
      <c r="I84" s="11">
        <f t="shared" ca="1" si="18"/>
        <v>6.6</v>
      </c>
      <c r="J84" s="11"/>
      <c r="L84" s="11"/>
      <c r="M84" s="11"/>
      <c r="N84" s="11"/>
      <c r="O84" s="11"/>
      <c r="Q84" s="11"/>
      <c r="R84" s="11"/>
      <c r="S84" s="11"/>
      <c r="T84" s="11"/>
      <c r="U84" s="11"/>
      <c r="V84" s="11"/>
      <c r="X84" s="11"/>
    </row>
    <row r="85" spans="1:24" x14ac:dyDescent="0.3">
      <c r="A85" s="11">
        <f t="shared" ca="1" si="19"/>
        <v>21.722597038799464</v>
      </c>
      <c r="B85" s="11">
        <f ca="1">IF(A85="","",SMALL(A74:A173,12))</f>
        <v>10.53043649250084</v>
      </c>
      <c r="C85" s="11">
        <f>'FALL 3'!C85</f>
        <v>12</v>
      </c>
      <c r="D85" s="11">
        <f ca="1">IF(C85=0,"",(B85*0.01*(K77-K78)+K78))</f>
        <v>11.324619841258793</v>
      </c>
      <c r="E85" s="11"/>
      <c r="F85" s="11">
        <f ca="1">IF(D85="","",LN((LN(D85*0.01)/-B50))/B51)</f>
        <v>6.9790268631639716</v>
      </c>
      <c r="G85" s="11">
        <f t="shared" ca="1" si="17"/>
        <v>11.324619841258793</v>
      </c>
      <c r="H85" s="50" t="str">
        <f ca="1">IF(I176=C85,I85,"")</f>
        <v/>
      </c>
      <c r="I85" s="11">
        <f t="shared" ca="1" si="18"/>
        <v>7</v>
      </c>
      <c r="J85" s="11"/>
      <c r="L85" s="11"/>
      <c r="M85" s="11"/>
      <c r="N85" s="11"/>
      <c r="O85" s="11"/>
      <c r="Q85" s="11"/>
      <c r="R85" s="11"/>
      <c r="S85" s="11"/>
      <c r="T85" s="11"/>
      <c r="U85" s="11"/>
      <c r="V85" s="11"/>
      <c r="X85" s="11"/>
    </row>
    <row r="86" spans="1:24" x14ac:dyDescent="0.3">
      <c r="A86" s="11">
        <f t="shared" ca="1" si="19"/>
        <v>66.829826929516031</v>
      </c>
      <c r="B86" s="11">
        <f ca="1">IF(A86="","",SMALL(A74:A173,13))</f>
        <v>10.885530224479504</v>
      </c>
      <c r="C86" s="11">
        <f>'FALL 3'!C86</f>
        <v>13</v>
      </c>
      <c r="D86" s="11">
        <f ca="1">(IF(C86=0,"",B86*0.01*(K77-K78)+K78))</f>
        <v>11.672592811388416</v>
      </c>
      <c r="E86" s="11"/>
      <c r="F86" s="11">
        <f ca="1">IF(D86="","",LN((LN(D86*0.01)/-B50))/B51)</f>
        <v>7.0909389353815797</v>
      </c>
      <c r="G86" s="11">
        <f t="shared" ca="1" si="17"/>
        <v>11.672592811388416</v>
      </c>
      <c r="H86" s="50" t="str">
        <f>IF(I1876=C86,I86,"")</f>
        <v/>
      </c>
      <c r="I86" s="11">
        <f t="shared" ca="1" si="18"/>
        <v>7.1</v>
      </c>
      <c r="J86" s="11"/>
      <c r="L86" s="11"/>
      <c r="M86" s="11"/>
      <c r="N86" s="11"/>
      <c r="O86" s="11"/>
      <c r="Q86" s="11"/>
      <c r="R86" s="11"/>
      <c r="S86" s="11"/>
      <c r="T86" s="11"/>
      <c r="U86" s="11"/>
      <c r="V86" s="11"/>
      <c r="X86" s="11"/>
    </row>
    <row r="87" spans="1:24" x14ac:dyDescent="0.3">
      <c r="A87" s="11">
        <f t="shared" ca="1" si="19"/>
        <v>38.485894582626536</v>
      </c>
      <c r="B87" s="11">
        <f ca="1">IF(A87="","",SMALL(A74:A173,14))</f>
        <v>10.913854291659938</v>
      </c>
      <c r="C87" s="11">
        <f>'FALL 3'!C87</f>
        <v>14</v>
      </c>
      <c r="D87" s="11">
        <f ca="1">IF(C87=0,"",(B87*0.01*(K77-K78)+K78))</f>
        <v>11.700348890686145</v>
      </c>
      <c r="E87" s="11"/>
      <c r="F87" s="11">
        <f ca="1">IF(D87="","",LN((LN(D87*0.01)/-B50))/B51)</f>
        <v>7.0997880630993588</v>
      </c>
      <c r="G87" s="11">
        <f t="shared" ca="1" si="17"/>
        <v>11.700348890686145</v>
      </c>
      <c r="H87" s="50" t="str">
        <f ca="1">IF(I176=C87,I87,"")</f>
        <v/>
      </c>
      <c r="I87" s="11">
        <f t="shared" ca="1" si="18"/>
        <v>7.1</v>
      </c>
      <c r="J87" s="11"/>
      <c r="L87" s="11"/>
      <c r="M87" s="11"/>
      <c r="N87" s="11"/>
      <c r="O87" s="11"/>
      <c r="Q87" s="11"/>
      <c r="R87" s="11"/>
      <c r="S87" s="11"/>
      <c r="T87" s="11"/>
      <c r="U87" s="11"/>
      <c r="V87" s="11"/>
      <c r="X87" s="11"/>
    </row>
    <row r="88" spans="1:24" x14ac:dyDescent="0.3">
      <c r="A88" s="11">
        <f t="shared" ca="1" si="19"/>
        <v>7.236393778707586</v>
      </c>
      <c r="B88" s="11">
        <f ca="1">IF(A88="","",SMALL(A74:A173,15))</f>
        <v>14.49379961208353</v>
      </c>
      <c r="C88" s="11">
        <f>'FALL 3'!C88</f>
        <v>15</v>
      </c>
      <c r="D88" s="11">
        <f ca="1">IF(C88=0,"",(B88*0.01*(K77-K78)+K78))</f>
        <v>15.2085048896895</v>
      </c>
      <c r="E88" s="11"/>
      <c r="F88" s="11">
        <f ca="1">IF(D88="","",LN((LN(D88*0.01)/-B50))/B51)</f>
        <v>8.1424866805007738</v>
      </c>
      <c r="G88" s="11">
        <f t="shared" ca="1" si="17"/>
        <v>15.2085048896895</v>
      </c>
      <c r="H88" s="50" t="str">
        <f ca="1">IF(I176=C88,I88,"")</f>
        <v/>
      </c>
      <c r="I88" s="11">
        <f t="shared" ca="1" si="18"/>
        <v>8.1</v>
      </c>
      <c r="J88" s="11"/>
      <c r="L88" s="11"/>
      <c r="M88" s="11"/>
      <c r="N88" s="11"/>
      <c r="O88" s="11"/>
      <c r="Q88" s="11"/>
      <c r="R88" s="11"/>
      <c r="S88" s="11"/>
      <c r="T88" s="11"/>
      <c r="U88" s="11"/>
      <c r="V88" s="11"/>
      <c r="X88" s="11"/>
    </row>
    <row r="89" spans="1:24" x14ac:dyDescent="0.3">
      <c r="A89" s="11">
        <f t="shared" ca="1" si="19"/>
        <v>46.064691747729199</v>
      </c>
      <c r="B89" s="11">
        <f ca="1">IF(A89="","",SMALL(A74:A173,16))</f>
        <v>14.787882301540993</v>
      </c>
      <c r="C89" s="11">
        <f>'FALL 3'!C89</f>
        <v>16</v>
      </c>
      <c r="D89" s="11">
        <f ca="1">(IF(C89=0,"",B89*0.01*(K77-K78)+K78))</f>
        <v>15.496690283286846</v>
      </c>
      <c r="E89" s="11"/>
      <c r="F89" s="11">
        <f ca="1">IF(D89="","",LN((LN(D89*0.01)/-B50))/B51)</f>
        <v>8.2226098197084347</v>
      </c>
      <c r="G89" s="11">
        <f t="shared" ca="1" si="17"/>
        <v>15.496690283286846</v>
      </c>
      <c r="H89" s="50" t="str">
        <f ca="1">IF(I176=C89,I89,"")</f>
        <v/>
      </c>
      <c r="I89" s="11">
        <f t="shared" ca="1" si="18"/>
        <v>8.1999999999999993</v>
      </c>
      <c r="J89" s="11"/>
      <c r="L89" s="11"/>
      <c r="M89" s="11"/>
      <c r="N89" s="11"/>
      <c r="O89" s="11"/>
      <c r="Q89" s="11"/>
      <c r="R89" s="11"/>
      <c r="S89" s="11"/>
      <c r="T89" s="11"/>
      <c r="U89" s="11"/>
      <c r="V89" s="11"/>
      <c r="X89" s="11"/>
    </row>
    <row r="90" spans="1:24" x14ac:dyDescent="0.3">
      <c r="A90" s="11">
        <f t="shared" ca="1" si="19"/>
        <v>21.832727086753366</v>
      </c>
      <c r="B90" s="11">
        <f ca="1">IF(A90="","",SMALL(A74:A173,17))</f>
        <v>15.018448098362695</v>
      </c>
      <c r="C90" s="11">
        <f>'FALL 3'!C90</f>
        <v>17</v>
      </c>
      <c r="D90" s="11">
        <f ca="1">IF(C90=0,"",(B90*0.01*(K77-K78)+K78))</f>
        <v>15.722632500524213</v>
      </c>
      <c r="E90" s="11"/>
      <c r="F90" s="11">
        <f ca="1">IF(D90="","",LN((LN(D90*0.01)/-B50))/B51)</f>
        <v>8.2849452379990751</v>
      </c>
      <c r="G90" s="11">
        <f t="shared" ca="1" si="17"/>
        <v>15.722632500524213</v>
      </c>
      <c r="H90" s="50" t="str">
        <f ca="1">IF(I176=C90,I90,"")</f>
        <v/>
      </c>
      <c r="I90" s="11">
        <f t="shared" ca="1" si="18"/>
        <v>8.3000000000000007</v>
      </c>
      <c r="J90" s="11"/>
      <c r="L90" s="11"/>
      <c r="M90" s="11"/>
      <c r="N90" s="11"/>
      <c r="O90" s="11"/>
      <c r="Q90" s="11"/>
      <c r="R90" s="11"/>
      <c r="S90" s="11"/>
      <c r="T90" s="11"/>
      <c r="U90" s="11"/>
      <c r="V90" s="11"/>
      <c r="X90" s="11"/>
    </row>
    <row r="91" spans="1:24" x14ac:dyDescent="0.3">
      <c r="A91" s="11">
        <f t="shared" ca="1" si="19"/>
        <v>40.248097189293503</v>
      </c>
      <c r="B91" s="11">
        <f ca="1">IF(A91="","",SMALL(A74:A173,18))</f>
        <v>18.068569221852552</v>
      </c>
      <c r="C91" s="11">
        <f>'FALL 3'!C91</f>
        <v>18</v>
      </c>
      <c r="D91" s="11">
        <f ca="1">IF(C91=0,"",(B91*0.01*(K77-K78)+K78))</f>
        <v>18.711588967544134</v>
      </c>
      <c r="E91" s="11"/>
      <c r="F91" s="11">
        <f ca="1">IF(D91="","",LN((LN(D91*0.01)/-B50))/B51)</f>
        <v>9.0751638915813544</v>
      </c>
      <c r="G91" s="11">
        <f t="shared" ca="1" si="17"/>
        <v>18.711588967544134</v>
      </c>
      <c r="H91" s="50" t="str">
        <f>IF(I1976=C91,I91,"")</f>
        <v/>
      </c>
      <c r="I91" s="11">
        <f t="shared" ca="1" si="18"/>
        <v>9.1</v>
      </c>
      <c r="J91" s="11"/>
      <c r="L91" s="11"/>
      <c r="M91" s="11"/>
      <c r="N91" s="11"/>
      <c r="O91" s="11"/>
      <c r="Q91" s="11"/>
      <c r="R91" s="11"/>
      <c r="S91" s="11"/>
      <c r="T91" s="11"/>
      <c r="U91" s="11"/>
      <c r="V91" s="11"/>
      <c r="X91" s="11"/>
    </row>
    <row r="92" spans="1:24" x14ac:dyDescent="0.3">
      <c r="A92" s="11">
        <f t="shared" ca="1" si="19"/>
        <v>22.798403487660405</v>
      </c>
      <c r="B92" s="11">
        <f ca="1">IF(A92="","",SMALL(A74:A1173,19))</f>
        <v>18.096694046407926</v>
      </c>
      <c r="C92" s="11">
        <f>'FALL 3'!C92</f>
        <v>19</v>
      </c>
      <c r="D92" s="11">
        <f ca="1">IF(C92=0,"",(B92*0.01*(K77-K78)+K78))</f>
        <v>18.73914979966689</v>
      </c>
      <c r="E92" s="11"/>
      <c r="F92" s="11">
        <f ca="1">IF(D92="","",LN((LN(D92*0.01)/-B50))/B51)</f>
        <v>9.0821909969239396</v>
      </c>
      <c r="G92" s="11">
        <f t="shared" ca="1" si="17"/>
        <v>18.73914979966689</v>
      </c>
      <c r="H92" s="50" t="str">
        <f ca="1">IF(I176=C92,I92,"")</f>
        <v/>
      </c>
      <c r="I92" s="11">
        <f t="shared" ca="1" si="18"/>
        <v>9.1</v>
      </c>
      <c r="J92" s="11"/>
      <c r="L92" s="11"/>
      <c r="M92" s="11"/>
      <c r="N92" s="11"/>
      <c r="O92" s="11"/>
      <c r="Q92" s="11"/>
      <c r="R92" s="11"/>
      <c r="S92" s="11"/>
      <c r="T92" s="11"/>
      <c r="U92" s="11"/>
      <c r="V92" s="11"/>
      <c r="X92" s="11"/>
    </row>
    <row r="93" spans="1:24" x14ac:dyDescent="0.3">
      <c r="A93" s="11">
        <f t="shared" ca="1" si="19"/>
        <v>49.691148443190642</v>
      </c>
      <c r="B93" s="11">
        <f ca="1">IF(A93="","",SMALL(A74:A173,20))</f>
        <v>19.165157236496931</v>
      </c>
      <c r="C93" s="11">
        <f>'FALL 3'!C93</f>
        <v>20</v>
      </c>
      <c r="D93" s="11">
        <f ca="1">IF(C93=0,"",(B93*0.01*(K77-K78)+K78))</f>
        <v>19.786186895077471</v>
      </c>
      <c r="E93" s="11"/>
      <c r="F93" s="11">
        <f ca="1">IF(D93="","",LN((LN(D93*0.01)/-B50))/B51)</f>
        <v>9.3461918954299907</v>
      </c>
      <c r="G93" s="11">
        <f t="shared" ca="1" si="17"/>
        <v>19.786186895077471</v>
      </c>
      <c r="H93" s="50" t="str">
        <f ca="1">IF(I176=C93,I93,"")</f>
        <v/>
      </c>
      <c r="I93" s="11">
        <f t="shared" ca="1" si="18"/>
        <v>9.3000000000000007</v>
      </c>
      <c r="L93" s="11"/>
      <c r="M93" s="11"/>
      <c r="N93" s="11"/>
      <c r="O93" s="11"/>
      <c r="Q93" s="11"/>
      <c r="R93" s="11"/>
      <c r="S93" s="11"/>
      <c r="T93" s="11"/>
      <c r="U93" s="11"/>
      <c r="V93" s="11"/>
      <c r="X93" s="11"/>
    </row>
    <row r="94" spans="1:24" x14ac:dyDescent="0.3">
      <c r="A94" s="11">
        <f t="shared" ca="1" si="19"/>
        <v>54.990009558994942</v>
      </c>
      <c r="B94" s="11">
        <f ca="1">IF(A94="","",SMALL(A74:A173,21))</f>
        <v>19.716125294376258</v>
      </c>
      <c r="C94" s="11">
        <f>'FALL 3'!C94</f>
        <v>21</v>
      </c>
      <c r="D94" s="11">
        <f ca="1">IF(C94=0,"",(B94*0.01*(K77-K78)+K78))</f>
        <v>20.326106286159085</v>
      </c>
      <c r="E94" s="11"/>
      <c r="F94" s="11">
        <f ca="1">IF(D94="","",LN((LN(D94*0.01)/-B50))/B51)</f>
        <v>9.4802154008227166</v>
      </c>
      <c r="G94" s="11">
        <f t="shared" ca="1" si="17"/>
        <v>20.326106286159085</v>
      </c>
      <c r="H94" s="50" t="str">
        <f ca="1">IF(I176=C94,I94,"")</f>
        <v/>
      </c>
      <c r="I94" s="11">
        <f t="shared" ca="1" si="18"/>
        <v>9.5</v>
      </c>
      <c r="L94" s="11"/>
      <c r="M94" s="11"/>
      <c r="N94" s="11"/>
      <c r="O94" s="11"/>
      <c r="Q94" s="11"/>
      <c r="R94" s="11"/>
      <c r="S94" s="11"/>
      <c r="T94" s="11"/>
      <c r="U94" s="11"/>
      <c r="V94" s="11"/>
      <c r="X94" s="11"/>
    </row>
    <row r="95" spans="1:24" x14ac:dyDescent="0.3">
      <c r="A95" s="11">
        <f t="shared" ca="1" si="19"/>
        <v>42.527251835919955</v>
      </c>
      <c r="B95" s="11">
        <f ca="1">IF(A95="","",SMALL(A74:A173,22))</f>
        <v>20.069201538126915</v>
      </c>
      <c r="C95" s="11">
        <f>'FALL 3'!C95</f>
        <v>22</v>
      </c>
      <c r="D95" s="11">
        <f ca="1">IF(C95=0,"",(B95*0.01*(K77-K78)+K78))</f>
        <v>20.672102225134175</v>
      </c>
      <c r="E95" s="11"/>
      <c r="F95" s="11">
        <f ca="1">IF(D95="","",LN((LN(D95*0.01)/-B50))/B51)</f>
        <v>9.5654025451961413</v>
      </c>
      <c r="G95" s="11">
        <f t="shared" ca="1" si="17"/>
        <v>20.672102225134175</v>
      </c>
      <c r="H95" s="50" t="str">
        <f ca="1">IF(I176=C95,I95,"")</f>
        <v/>
      </c>
      <c r="I95" s="11">
        <f t="shared" ca="1" si="18"/>
        <v>9.6</v>
      </c>
      <c r="L95" s="11"/>
      <c r="M95" s="11"/>
      <c r="N95" s="11"/>
      <c r="O95" s="11"/>
      <c r="Q95" s="11"/>
      <c r="R95" s="11"/>
      <c r="S95" s="11"/>
      <c r="T95" s="11"/>
      <c r="U95" s="11"/>
      <c r="V95" s="11"/>
      <c r="X95" s="11"/>
    </row>
    <row r="96" spans="1:24" x14ac:dyDescent="0.3">
      <c r="A96" s="11">
        <f t="shared" ca="1" si="19"/>
        <v>29.016184708225413</v>
      </c>
      <c r="B96" s="11">
        <f ca="1">IF(A96="","",SMALL(A74:A173,23))</f>
        <v>20.477118628301223</v>
      </c>
      <c r="C96" s="11">
        <f>'FALL 3'!C96</f>
        <v>23</v>
      </c>
      <c r="D96" s="11">
        <f ca="1">IF(C96=0,"",(B96*0.01*(K77-K78)+K78))</f>
        <v>21.071839276654746</v>
      </c>
      <c r="E96" s="11"/>
      <c r="F96" s="11">
        <f ca="1">IF(D96="","",LN((LN(D96*0.01)/-B50))/B51)</f>
        <v>9.6631754089994875</v>
      </c>
      <c r="G96" s="11">
        <f t="shared" ca="1" si="17"/>
        <v>21.071839276654746</v>
      </c>
      <c r="H96" s="50" t="str">
        <f>IF(I1976=C96,I96,"")</f>
        <v/>
      </c>
      <c r="I96" s="11">
        <f t="shared" ca="1" si="18"/>
        <v>9.6999999999999993</v>
      </c>
      <c r="L96" s="11"/>
      <c r="M96" s="11"/>
      <c r="N96" s="11"/>
      <c r="O96" s="11"/>
      <c r="Q96" s="11"/>
      <c r="R96" s="11"/>
      <c r="S96" s="11"/>
      <c r="T96" s="11"/>
      <c r="U96" s="11"/>
      <c r="V96" s="11"/>
      <c r="X96" s="11"/>
    </row>
    <row r="97" spans="1:24" x14ac:dyDescent="0.3">
      <c r="A97" s="11">
        <f t="shared" ca="1" si="19"/>
        <v>75.433313687716009</v>
      </c>
      <c r="B97" s="11">
        <f ca="1">IF(A97="","",SMALL(A74:A173,24))</f>
        <v>21.722597038799464</v>
      </c>
      <c r="C97" s="11">
        <f>'FALL 3'!C97</f>
        <v>24</v>
      </c>
      <c r="D97" s="11">
        <f ca="1">IF(C97=0,"",(B97*0.01*(K77-K78)+K78))</f>
        <v>22.292341872739527</v>
      </c>
      <c r="E97" s="11"/>
      <c r="F97" s="11">
        <f ca="1">IF(D97="","",LN((LN(D97*0.01)/-B50))/B51)</f>
        <v>9.9577368703599998</v>
      </c>
      <c r="G97" s="11">
        <f t="shared" ca="1" si="17"/>
        <v>22.292341872739527</v>
      </c>
      <c r="H97" s="50" t="str">
        <f ca="1">IF(I176=C97,I97,"")</f>
        <v/>
      </c>
      <c r="I97" s="11">
        <f t="shared" ca="1" si="18"/>
        <v>10</v>
      </c>
      <c r="L97" s="11"/>
      <c r="M97" s="11"/>
      <c r="N97" s="11"/>
      <c r="O97" s="11"/>
      <c r="Q97" s="11"/>
      <c r="R97" s="11"/>
      <c r="S97" s="11"/>
      <c r="T97" s="11"/>
      <c r="U97" s="11"/>
      <c r="V97" s="11"/>
      <c r="X97" s="11"/>
    </row>
    <row r="98" spans="1:24" x14ac:dyDescent="0.3">
      <c r="A98" s="11">
        <f t="shared" ca="1" si="19"/>
        <v>29.972532191020719</v>
      </c>
      <c r="B98" s="11">
        <f ca="1">IF(A98="","",SMALL(A74:A173,25))</f>
        <v>21.832727086753366</v>
      </c>
      <c r="C98" s="11">
        <f>'FALL 3'!C98</f>
        <v>25</v>
      </c>
      <c r="D98" s="11">
        <f ca="1">IF(C98=0,"",(B98*0.01*(K77-K78)+K78))</f>
        <v>22.400263461987237</v>
      </c>
      <c r="E98" s="11"/>
      <c r="F98" s="11">
        <f ca="1">IF(D98="","",LN((LN(D98*0.01)/-B50))/B51)</f>
        <v>9.9835148168972001</v>
      </c>
      <c r="G98" s="11">
        <f t="shared" ca="1" si="17"/>
        <v>22.400263461987237</v>
      </c>
      <c r="H98" s="50" t="str">
        <f ca="1">IF(I176=C98,I98,"")</f>
        <v/>
      </c>
      <c r="I98" s="11">
        <f t="shared" ca="1" si="18"/>
        <v>10</v>
      </c>
      <c r="L98" s="11"/>
      <c r="M98" s="11"/>
      <c r="N98" s="11"/>
      <c r="O98" s="11"/>
      <c r="Q98" s="11"/>
      <c r="R98" s="11"/>
      <c r="S98" s="11"/>
      <c r="T98" s="11"/>
      <c r="U98" s="11"/>
      <c r="V98" s="11"/>
      <c r="X98" s="11"/>
    </row>
    <row r="99" spans="1:24" x14ac:dyDescent="0.3">
      <c r="A99" s="11">
        <f t="shared" ca="1" si="19"/>
        <v>98.808316937464056</v>
      </c>
      <c r="B99" s="11">
        <f ca="1">IF(A99="","",SMALL(A74:A173,26))</f>
        <v>22.363985131911313</v>
      </c>
      <c r="C99" s="11">
        <f>'FALL 3'!C99</f>
        <v>26</v>
      </c>
      <c r="D99" s="11">
        <f ca="1">IF(C99=0,"",(B99*0.01*(K77-K78)+K78))</f>
        <v>22.920868088964927</v>
      </c>
      <c r="E99" s="11"/>
      <c r="F99" s="11">
        <f ca="1">IF(D99="","",LN((LN(D99*0.01)/-B50))/B51)</f>
        <v>10.107296793558666</v>
      </c>
      <c r="G99" s="11">
        <f t="shared" ca="1" si="17"/>
        <v>22.920868088964927</v>
      </c>
      <c r="H99" s="50" t="str">
        <f ca="1">IF(I176=C99,I99,"")</f>
        <v/>
      </c>
      <c r="I99" s="11">
        <f t="shared" ca="1" si="18"/>
        <v>10.1</v>
      </c>
      <c r="L99" s="11"/>
      <c r="M99" s="11"/>
      <c r="N99" s="11"/>
      <c r="O99" s="11"/>
      <c r="Q99" s="11"/>
      <c r="R99" s="11"/>
      <c r="S99" s="11"/>
      <c r="T99" s="11"/>
      <c r="U99" s="11"/>
      <c r="V99" s="11"/>
      <c r="X99" s="11"/>
    </row>
    <row r="100" spans="1:24" x14ac:dyDescent="0.3">
      <c r="A100" s="11">
        <f t="shared" ca="1" si="19"/>
        <v>57.231159567227657</v>
      </c>
      <c r="B100" s="11">
        <f ca="1">IF(A100="","",SMALL(A74:A173,27))</f>
        <v>22.402120716537858</v>
      </c>
      <c r="C100" s="11">
        <f>'FALL 3'!C100</f>
        <v>27</v>
      </c>
      <c r="D100" s="11">
        <f ca="1">IF(C100=0,"",(B100*0.01*(K77-K78)+K78))</f>
        <v>22.958238933491483</v>
      </c>
      <c r="E100" s="11"/>
      <c r="F100" s="11">
        <f ca="1">IF(D100="","",LN((LN(D100*0.01)/-B50))/B51)</f>
        <v>10.116147016105716</v>
      </c>
      <c r="G100" s="11">
        <f t="shared" ca="1" si="17"/>
        <v>22.958238933491483</v>
      </c>
      <c r="H100" s="50" t="str">
        <f ca="1">IF(I176=C100,I100,"")</f>
        <v/>
      </c>
      <c r="I100" s="11">
        <f t="shared" ca="1" si="18"/>
        <v>10.1</v>
      </c>
      <c r="L100" s="11"/>
      <c r="M100" s="11"/>
      <c r="N100" s="11"/>
      <c r="O100" s="11"/>
      <c r="Q100" s="11"/>
      <c r="R100" s="11"/>
      <c r="S100" s="11"/>
      <c r="T100" s="11"/>
      <c r="U100" s="11"/>
      <c r="V100" s="11"/>
      <c r="X100" s="11"/>
    </row>
    <row r="101" spans="1:24" x14ac:dyDescent="0.3">
      <c r="A101" s="11">
        <f t="shared" ca="1" si="19"/>
        <v>14.787882301540993</v>
      </c>
      <c r="B101" s="11">
        <f ca="1">IF(A101="","",SMALL(A74:A173,28))</f>
        <v>22.66610817703523</v>
      </c>
      <c r="C101" s="11">
        <f>'FALL 3'!C101</f>
        <v>28</v>
      </c>
      <c r="D101" s="11">
        <f ca="1">IF(C101=0,"",(B101*0.01*(K77-K78)+K78))</f>
        <v>23.216932603453994</v>
      </c>
      <c r="E101" s="11"/>
      <c r="F101" s="11">
        <f ca="1">IF(D101="","",LN((LN(D101*0.01)/-B50))/B51)</f>
        <v>10.177285835277674</v>
      </c>
      <c r="G101" s="11">
        <f t="shared" ca="1" si="17"/>
        <v>23.216932603453994</v>
      </c>
      <c r="H101" s="50" t="str">
        <f ca="1">IF(I176=C101,I101,"")</f>
        <v/>
      </c>
      <c r="I101" s="11">
        <f t="shared" ca="1" si="18"/>
        <v>10.199999999999999</v>
      </c>
      <c r="L101" s="11"/>
      <c r="M101" s="11"/>
      <c r="N101" s="11"/>
      <c r="O101" s="11"/>
      <c r="Q101" s="11"/>
      <c r="R101" s="11"/>
      <c r="S101" s="11"/>
      <c r="T101" s="11"/>
      <c r="U101" s="11"/>
      <c r="V101" s="11"/>
      <c r="X101" s="11"/>
    </row>
    <row r="102" spans="1:24" x14ac:dyDescent="0.3">
      <c r="A102" s="11">
        <f t="shared" ca="1" si="19"/>
        <v>40.887985740747538</v>
      </c>
      <c r="B102" s="11">
        <f ca="1">IF(A102="","",SMALL(A74:A173,29))</f>
        <v>22.798403487660405</v>
      </c>
      <c r="C102" s="11">
        <f>'FALL 3'!C102</f>
        <v>29</v>
      </c>
      <c r="D102" s="11">
        <f ca="1">IF(C102=0,"",(B102*0.01*(K77-K78)+K78))</f>
        <v>23.346574971163346</v>
      </c>
      <c r="E102" s="11"/>
      <c r="F102" s="11">
        <f ca="1">IF(D102="","",LN((LN(D102*0.01)/-B50))/B51)</f>
        <v>10.207844041546561</v>
      </c>
      <c r="G102" s="11">
        <f t="shared" ca="1" si="17"/>
        <v>23.346574971163346</v>
      </c>
      <c r="H102" s="50" t="str">
        <f ca="1">IF(I176=C102,I102,"")</f>
        <v/>
      </c>
      <c r="I102" s="11">
        <f t="shared" ca="1" si="18"/>
        <v>10.199999999999999</v>
      </c>
      <c r="J102" s="11"/>
      <c r="K102" s="11"/>
      <c r="L102" s="11"/>
      <c r="M102" s="11"/>
      <c r="N102" s="11"/>
      <c r="O102" s="11"/>
      <c r="Q102" s="11"/>
      <c r="R102" s="11"/>
      <c r="S102" s="11"/>
      <c r="T102" s="11"/>
      <c r="U102" s="11"/>
      <c r="V102" s="11"/>
      <c r="X102" s="11"/>
    </row>
    <row r="103" spans="1:24" x14ac:dyDescent="0.3">
      <c r="A103" s="11">
        <f t="shared" ca="1" si="19"/>
        <v>88.960234235886745</v>
      </c>
      <c r="B103" s="11">
        <f ca="1">IF(A103="","",SMALL(A74:A173,30))</f>
        <v>22.988763705825928</v>
      </c>
      <c r="C103" s="11">
        <f>'FALL 3'!C103</f>
        <v>30</v>
      </c>
      <c r="D103" s="11">
        <f ca="1">IF(C103=0,"",(B103*0.01*(K77-K78)+K78))</f>
        <v>23.533117859826785</v>
      </c>
      <c r="E103" s="11"/>
      <c r="F103" s="11">
        <f ca="1">IF(D103="","",LN((LN(D103*0.01)/-B50))/B51)</f>
        <v>10.251721580230557</v>
      </c>
      <c r="G103" s="11">
        <f t="shared" ca="1" si="17"/>
        <v>23.533117859826785</v>
      </c>
      <c r="H103" s="50" t="str">
        <f ca="1">IF(I176=C103,I103,"")</f>
        <v/>
      </c>
      <c r="I103" s="11">
        <f t="shared" ca="1" si="18"/>
        <v>10.3</v>
      </c>
      <c r="J103" s="11"/>
      <c r="K103" s="11"/>
      <c r="L103" s="11"/>
      <c r="M103" s="11"/>
      <c r="N103" s="11"/>
      <c r="O103" s="11"/>
      <c r="Q103" s="11"/>
      <c r="R103" s="11"/>
      <c r="S103" s="11"/>
      <c r="T103" s="11"/>
      <c r="U103" s="11"/>
      <c r="V103" s="11"/>
      <c r="X103" s="11"/>
    </row>
    <row r="104" spans="1:24" x14ac:dyDescent="0.3">
      <c r="A104" s="11">
        <f t="shared" ca="1" si="19"/>
        <v>45.47883392341403</v>
      </c>
      <c r="B104" s="11">
        <f ca="1">IF(A104="","",SMALL(A74:A173,31))</f>
        <v>24.222389089655788</v>
      </c>
      <c r="C104" s="11">
        <f>'FALL 3'!C104</f>
        <v>31</v>
      </c>
      <c r="D104" s="11">
        <f ca="1">IF(C104=0,"",(B104*0.01*(K77-K78)+K78))</f>
        <v>24.742005120231493</v>
      </c>
      <c r="E104" s="11"/>
      <c r="F104" s="11">
        <f ca="1">IF(D104="","",LN((LN(D104*0.01)/-B50))/B51)</f>
        <v>10.533573144252147</v>
      </c>
      <c r="G104" s="11">
        <f t="shared" ca="1" si="17"/>
        <v>24.742005120231493</v>
      </c>
      <c r="H104" s="50" t="str">
        <f ca="1">IF(I176=C104,I104,"")</f>
        <v/>
      </c>
      <c r="I104" s="11">
        <f t="shared" ca="1" si="18"/>
        <v>10.5</v>
      </c>
      <c r="J104" s="11"/>
      <c r="K104" s="11"/>
      <c r="L104" s="11"/>
      <c r="M104" s="11"/>
      <c r="N104" s="11"/>
      <c r="O104" s="11"/>
      <c r="Q104" s="11"/>
      <c r="R104" s="11"/>
      <c r="S104" s="11"/>
      <c r="T104" s="11"/>
      <c r="U104" s="11"/>
      <c r="V104" s="11"/>
      <c r="X104" s="11"/>
    </row>
    <row r="105" spans="1:24" ht="16.8" customHeight="1" x14ac:dyDescent="0.3">
      <c r="A105" s="11">
        <f t="shared" ca="1" si="19"/>
        <v>10.913854291659938</v>
      </c>
      <c r="B105" s="11">
        <f ca="1">IF(A105="","",SMALL(A74:A173,32))</f>
        <v>26.935136806361843</v>
      </c>
      <c r="C105" s="11">
        <f>'FALL 3'!C105</f>
        <v>32</v>
      </c>
      <c r="D105" s="11">
        <f ca="1">IF(C105=0,"",(B105*0.01*(K77-K78)+K78))</f>
        <v>27.400353593279942</v>
      </c>
      <c r="E105" s="11"/>
      <c r="F105" s="11">
        <f ca="1">IF(D105="","",LN((LN(D105*0.01)/-B50))/B51)</f>
        <v>11.140465600258269</v>
      </c>
      <c r="G105" s="11">
        <f t="shared" ca="1" si="17"/>
        <v>27.400353593279942</v>
      </c>
      <c r="H105" s="50" t="str">
        <f>IF(I2176=C105,I105,"")</f>
        <v/>
      </c>
      <c r="I105" s="11">
        <f t="shared" ca="1" si="18"/>
        <v>11.1</v>
      </c>
      <c r="J105" s="11"/>
      <c r="K105" s="11"/>
      <c r="L105" s="11"/>
      <c r="M105" s="11"/>
      <c r="N105" s="11"/>
      <c r="O105" s="11"/>
      <c r="Q105" s="11"/>
      <c r="R105" s="11"/>
      <c r="S105" s="11"/>
      <c r="T105" s="11"/>
      <c r="U105" s="11"/>
      <c r="V105" s="11"/>
      <c r="X105" s="11"/>
    </row>
    <row r="106" spans="1:24" x14ac:dyDescent="0.3">
      <c r="A106" s="11">
        <f t="shared" ca="1" si="19"/>
        <v>18.068569221852552</v>
      </c>
      <c r="B106" s="11">
        <f ca="1">IF(A106="","",SMALL(A74:A173,33))</f>
        <v>28.040272016733912</v>
      </c>
      <c r="C106" s="11">
        <f>'FALL 3'!C106</f>
        <v>33</v>
      </c>
      <c r="D106" s="11">
        <f ca="1">(IF(C106=0,"",B106*0.01*(K77-K78)+K78))</f>
        <v>28.48332731800652</v>
      </c>
      <c r="E106" s="11"/>
      <c r="F106" s="11">
        <f ca="1">IF(D106="","",LN((LN(D106*0.01)/-B50))/B51)</f>
        <v>11.383610966237072</v>
      </c>
      <c r="G106" s="11">
        <f t="shared" ca="1" si="17"/>
        <v>28.48332731800652</v>
      </c>
      <c r="H106" s="50" t="str">
        <f ca="1">IF(I176=C106,I106,"")</f>
        <v/>
      </c>
      <c r="I106" s="11">
        <f t="shared" ca="1" si="18"/>
        <v>11.4</v>
      </c>
      <c r="J106" s="11"/>
      <c r="K106" s="11"/>
      <c r="L106" s="11"/>
      <c r="M106" s="11"/>
      <c r="N106" s="11"/>
      <c r="O106" s="11"/>
      <c r="Q106" s="11"/>
      <c r="R106" s="11"/>
      <c r="S106" s="11"/>
      <c r="T106" s="11"/>
      <c r="U106" s="11"/>
      <c r="V106" s="11"/>
      <c r="X106" s="11"/>
    </row>
    <row r="107" spans="1:24" x14ac:dyDescent="0.3">
      <c r="A107" s="11">
        <f t="shared" ca="1" si="19"/>
        <v>58.464920340926298</v>
      </c>
      <c r="B107" s="11">
        <f ca="1">IF(A107="","",SMALL(A74:A173,34))</f>
        <v>29.016184708225413</v>
      </c>
      <c r="C107" s="11">
        <f>'FALL 3'!C107</f>
        <v>34</v>
      </c>
      <c r="D107" s="11">
        <f ca="1">IF(C107=0,"",(B107*0.01*(K77-K78)+K78))</f>
        <v>29.439669847493622</v>
      </c>
      <c r="E107" s="11"/>
      <c r="F107" s="11">
        <f ca="1">IF(D107="","",LN((LN(D107*0.01)/-B50))/B51)</f>
        <v>11.596754496932569</v>
      </c>
      <c r="G107" s="11">
        <f t="shared" ca="1" si="17"/>
        <v>29.439669847493622</v>
      </c>
      <c r="H107" s="50" t="str">
        <f ca="1">IF(I176=C107,I107,"")</f>
        <v/>
      </c>
      <c r="I107" s="11">
        <f t="shared" ca="1" si="18"/>
        <v>11.6</v>
      </c>
      <c r="J107" s="11"/>
      <c r="K107" s="11"/>
      <c r="L107" s="11"/>
      <c r="M107" s="11"/>
      <c r="N107" s="11"/>
      <c r="O107" s="11"/>
      <c r="Q107" s="11"/>
      <c r="R107" s="11"/>
      <c r="S107" s="11"/>
      <c r="T107" s="11"/>
      <c r="U107" s="11"/>
      <c r="V107" s="11"/>
      <c r="X107" s="11"/>
    </row>
    <row r="108" spans="1:24" x14ac:dyDescent="0.3">
      <c r="A108" s="11">
        <f t="shared" ca="1" si="19"/>
        <v>55.921474171140048</v>
      </c>
      <c r="B108" s="11">
        <f ca="1">IF(A108="","",SMALL(A74:A173,35))</f>
        <v>29.972532191020719</v>
      </c>
      <c r="C108" s="11">
        <f>'FALL 3'!C108</f>
        <v>35</v>
      </c>
      <c r="D108" s="11">
        <f ca="1">(IF(C108=0,"",B108*0.01*(K77-K78)+K78))</f>
        <v>30.376839513119446</v>
      </c>
      <c r="E108" s="11"/>
      <c r="F108" s="11">
        <f ca="1">IF(D108="","",LN((LN(D108*0.01)/-B50))/B51)</f>
        <v>11.80440239962334</v>
      </c>
      <c r="G108" s="11">
        <f t="shared" ca="1" si="17"/>
        <v>30.376839513119446</v>
      </c>
      <c r="H108" s="50" t="str">
        <f ca="1">IF(I176=C108,I108,"")</f>
        <v/>
      </c>
      <c r="I108" s="11">
        <f t="shared" ca="1" si="18"/>
        <v>11.8</v>
      </c>
      <c r="J108" s="11"/>
      <c r="K108" s="11"/>
      <c r="L108" s="11"/>
      <c r="M108" s="11"/>
      <c r="N108" s="11"/>
      <c r="O108" s="11"/>
      <c r="Q108" s="11"/>
      <c r="R108" s="11"/>
      <c r="S108" s="11"/>
      <c r="T108" s="11"/>
      <c r="U108" s="11"/>
      <c r="V108" s="11"/>
      <c r="X108" s="11"/>
    </row>
    <row r="109" spans="1:24" x14ac:dyDescent="0.3">
      <c r="A109" s="11">
        <f t="shared" ca="1" si="19"/>
        <v>82.652071906329411</v>
      </c>
      <c r="B109" s="11">
        <f ca="1">IF(A109="","",SMALL(A74:A173,36))</f>
        <v>30.123378148520377</v>
      </c>
      <c r="C109" s="11">
        <f>'FALL 3'!C109</f>
        <v>36</v>
      </c>
      <c r="D109" s="11">
        <f ca="1">IF(C109=0,"",(B109*0.01*(K77-K78)+K78))</f>
        <v>30.524660528068701</v>
      </c>
      <c r="E109" s="11"/>
      <c r="F109" s="11">
        <f ca="1">IF(D109="","",LN((LN(D109*0.01)/-B50))/B51)</f>
        <v>11.837056647836009</v>
      </c>
      <c r="G109" s="11">
        <f t="shared" ca="1" si="17"/>
        <v>30.524660528068701</v>
      </c>
      <c r="H109" s="50" t="str">
        <f ca="1">IF(I176=C109,I109,"")</f>
        <v/>
      </c>
      <c r="I109" s="11">
        <f t="shared" ca="1" si="18"/>
        <v>11.8</v>
      </c>
      <c r="J109" s="11"/>
      <c r="K109" s="11"/>
      <c r="L109" s="11"/>
      <c r="M109" s="11"/>
      <c r="N109" s="11"/>
      <c r="O109" s="11"/>
      <c r="Q109" s="11"/>
      <c r="R109" s="11"/>
      <c r="S109" s="11"/>
      <c r="T109" s="11"/>
      <c r="U109" s="11"/>
      <c r="V109" s="11"/>
      <c r="X109" s="11"/>
    </row>
    <row r="110" spans="1:24" x14ac:dyDescent="0.3">
      <c r="A110" s="11">
        <f t="shared" ca="1" si="19"/>
        <v>78.113730407507262</v>
      </c>
      <c r="B110" s="11">
        <f ca="1">IF(A110="","",SMALL(A74:A173,37))</f>
        <v>30.392788314351847</v>
      </c>
      <c r="C110" s="11">
        <f>'FALL 3'!C110</f>
        <v>37</v>
      </c>
      <c r="D110" s="11">
        <f ca="1">IF(C110=0,"",(B110*0.01*(K77-K78)+K78))</f>
        <v>30.788668160828387</v>
      </c>
      <c r="E110" s="11"/>
      <c r="F110" s="11">
        <f ca="1">IF(D110="","",LN((LN(D110*0.01)/-B50))/B51)</f>
        <v>11.895315569000624</v>
      </c>
      <c r="G110" s="11">
        <f t="shared" ca="1" si="17"/>
        <v>30.788668160828387</v>
      </c>
      <c r="H110" s="50" t="str">
        <f ca="1">IF(I176=C110,I110,"")</f>
        <v/>
      </c>
      <c r="I110" s="11">
        <f t="shared" ca="1" si="18"/>
        <v>11.9</v>
      </c>
      <c r="J110" s="11"/>
      <c r="K110" s="11"/>
      <c r="L110" s="11"/>
      <c r="M110" s="11"/>
      <c r="N110" s="11"/>
      <c r="O110" s="11"/>
      <c r="Q110" s="11"/>
      <c r="R110" s="11"/>
      <c r="S110" s="11"/>
      <c r="T110" s="11"/>
      <c r="U110" s="11"/>
      <c r="V110" s="11"/>
      <c r="X110" s="11"/>
    </row>
    <row r="111" spans="1:24" x14ac:dyDescent="0.3">
      <c r="A111" s="11">
        <f t="shared" ca="1" si="19"/>
        <v>67.554798364905551</v>
      </c>
      <c r="B111" s="11">
        <f ca="1">IF(A111="","",SMALL(A74:A173,38))</f>
        <v>30.928527190486321</v>
      </c>
      <c r="C111" s="11">
        <f>'FALL 3'!C111</f>
        <v>38</v>
      </c>
      <c r="D111" s="11">
        <f ca="1">(IF(C111=0,"",B111*0.01*(K77-K78)+K78))</f>
        <v>31.313663763830526</v>
      </c>
      <c r="E111" s="11"/>
      <c r="F111" s="11">
        <f ca="1">IF(D111="","",LN((LN(D111*0.01)/-B50))/B51)</f>
        <v>12.010946584389737</v>
      </c>
      <c r="G111" s="11">
        <f t="shared" ca="1" si="17"/>
        <v>31.313663763830526</v>
      </c>
      <c r="H111" s="50" t="str">
        <f ca="1">IF(I176=C111,I111,"")</f>
        <v/>
      </c>
      <c r="I111" s="11">
        <f t="shared" ca="1" si="18"/>
        <v>12</v>
      </c>
      <c r="J111" s="11"/>
      <c r="K111" s="11"/>
      <c r="L111" s="11"/>
      <c r="M111" s="11"/>
      <c r="N111" s="11"/>
      <c r="O111" s="11"/>
      <c r="Q111" s="11"/>
      <c r="R111" s="11"/>
      <c r="S111" s="11"/>
      <c r="T111" s="11"/>
      <c r="U111" s="11"/>
      <c r="V111" s="11"/>
      <c r="X111" s="11"/>
    </row>
    <row r="112" spans="1:24" x14ac:dyDescent="0.3">
      <c r="A112" s="11">
        <f t="shared" ca="1" si="19"/>
        <v>24.222389089655788</v>
      </c>
      <c r="B112" s="11">
        <f ca="1">IF(A112="","",SMALL(A74:A173,39))</f>
        <v>33.284811034336883</v>
      </c>
      <c r="C112" s="11">
        <f>'FALL 3'!C112</f>
        <v>39</v>
      </c>
      <c r="D112" s="11">
        <f ca="1">IF(C112=0,"",(B112*0.01*(K77-K78)+K78))</f>
        <v>33.622696601566986</v>
      </c>
      <c r="E112" s="11"/>
      <c r="F112" s="11">
        <f ca="1">IF(D112="","",LN((LN(D112*0.01)/-B50))/B51)</f>
        <v>12.516704751546795</v>
      </c>
      <c r="G112" s="11">
        <f t="shared" ca="1" si="17"/>
        <v>33.622696601566986</v>
      </c>
      <c r="H112" s="50" t="str">
        <f ca="1">IF(I176=C112,I112,"")</f>
        <v/>
      </c>
      <c r="I112" s="11">
        <f t="shared" ca="1" si="18"/>
        <v>12.5</v>
      </c>
      <c r="J112" s="11"/>
      <c r="K112" s="11"/>
      <c r="L112" s="11"/>
      <c r="M112" s="11"/>
      <c r="N112" s="11"/>
      <c r="O112" s="11"/>
      <c r="Q112" s="11"/>
      <c r="R112" s="11"/>
      <c r="S112" s="11"/>
      <c r="T112" s="11"/>
      <c r="U112" s="11"/>
      <c r="V112" s="11"/>
      <c r="X112" s="11"/>
    </row>
    <row r="113" spans="1:24" x14ac:dyDescent="0.3">
      <c r="A113" s="11">
        <f t="shared" ca="1" si="19"/>
        <v>22.988763705825928</v>
      </c>
      <c r="B113" s="11">
        <f ca="1">IF(A113="","",SMALL(A74:A173,40))</f>
        <v>33.68582618215472</v>
      </c>
      <c r="C113" s="11">
        <f>'FALL 3'!C113</f>
        <v>40</v>
      </c>
      <c r="D113" s="11">
        <f ca="1">IF(C113=0,"",(B113*0.01*(K77-K78)+K78))</f>
        <v>34.015670116688128</v>
      </c>
      <c r="E113" s="11"/>
      <c r="F113" s="11">
        <f ca="1">IF(D113="","",LN((LN(D113*0.01)/-B50))/B51)</f>
        <v>12.602432420732436</v>
      </c>
      <c r="G113" s="11">
        <f t="shared" ca="1" si="17"/>
        <v>34.015670116688128</v>
      </c>
      <c r="H113" s="50" t="str">
        <f ca="1">IF(I176=C113,I113,"")</f>
        <v/>
      </c>
      <c r="I113" s="11">
        <f t="shared" ca="1" si="18"/>
        <v>12.6</v>
      </c>
      <c r="J113" s="11"/>
      <c r="K113" s="11"/>
      <c r="L113" s="11"/>
      <c r="M113" s="11"/>
      <c r="N113" s="11"/>
      <c r="O113" s="11"/>
      <c r="Q113" s="11"/>
      <c r="R113" s="11"/>
      <c r="S113" s="11"/>
      <c r="T113" s="11"/>
      <c r="U113" s="11"/>
      <c r="V113" s="11"/>
      <c r="X113" s="11"/>
    </row>
    <row r="114" spans="1:24" x14ac:dyDescent="0.3">
      <c r="A114" s="11">
        <f t="shared" ca="1" si="19"/>
        <v>33.284811034336883</v>
      </c>
      <c r="B114" s="11">
        <f ca="1">IF(A114="","",SMALL(A74:A173,41))</f>
        <v>33.716555255162135</v>
      </c>
      <c r="C114" s="11">
        <f>'FALL 3'!C114</f>
        <v>41</v>
      </c>
      <c r="D114" s="11">
        <f ca="1">(IF(C114=0,"",B114*0.01*(K77-K78)+K78))</f>
        <v>34.045782973775573</v>
      </c>
      <c r="E114" s="11"/>
      <c r="F114" s="11">
        <f ca="1">IF(D114="","",LN((LN(D114*0.01)/-B50))/B51)</f>
        <v>12.608998474860904</v>
      </c>
      <c r="G114" s="11">
        <f t="shared" ca="1" si="17"/>
        <v>34.045782973775573</v>
      </c>
      <c r="H114" s="50" t="str">
        <f ca="1">IF(I176=C114,I114,"")</f>
        <v/>
      </c>
      <c r="I114" s="11">
        <f t="shared" ca="1" si="18"/>
        <v>12.6</v>
      </c>
      <c r="J114" s="11"/>
      <c r="K114" s="11"/>
      <c r="L114" s="11"/>
      <c r="M114" s="11"/>
      <c r="N114" s="11"/>
      <c r="O114" s="11"/>
      <c r="Q114" s="11"/>
      <c r="R114" s="11"/>
      <c r="S114" s="11"/>
      <c r="T114" s="11"/>
      <c r="U114" s="11"/>
      <c r="V114" s="11"/>
      <c r="X114" s="11"/>
    </row>
    <row r="115" spans="1:24" x14ac:dyDescent="0.3">
      <c r="A115" s="11">
        <f t="shared" ca="1" si="19"/>
        <v>42.64756325440645</v>
      </c>
      <c r="B115" s="11">
        <f ca="1">IF(A115="","",SMALL(A74:A173,42))</f>
        <v>34.688641730273304</v>
      </c>
      <c r="C115" s="11">
        <f>'FALL 3'!C115</f>
        <v>42</v>
      </c>
      <c r="D115" s="11">
        <f ca="1">IF(C115=0,"",(B115*0.01*(K77-K78)+K78))</f>
        <v>34.998376014723966</v>
      </c>
      <c r="E115" s="11"/>
      <c r="F115" s="11">
        <f ca="1">IF(D115="","",LN((LN(D115*0.01)/-B50))/B51)</f>
        <v>12.816519317806025</v>
      </c>
      <c r="G115" s="11">
        <f t="shared" ca="1" si="17"/>
        <v>34.998376014723966</v>
      </c>
      <c r="H115" s="50" t="str">
        <f ca="1">IF(I176=C115,I115,"")</f>
        <v/>
      </c>
      <c r="I115" s="11">
        <f t="shared" ca="1" si="18"/>
        <v>12.8</v>
      </c>
      <c r="J115" s="11"/>
      <c r="K115" s="11"/>
      <c r="L115" s="11"/>
      <c r="M115" s="11"/>
      <c r="N115" s="11"/>
      <c r="O115" s="11"/>
      <c r="Q115" s="11"/>
      <c r="R115" s="11"/>
      <c r="S115" s="11"/>
      <c r="T115" s="11"/>
      <c r="U115" s="11"/>
      <c r="V115" s="11"/>
      <c r="X115" s="11"/>
    </row>
    <row r="116" spans="1:24" x14ac:dyDescent="0.3">
      <c r="A116" s="11">
        <f t="shared" ca="1" si="19"/>
        <v>6.0767745995305233</v>
      </c>
      <c r="B116" s="11">
        <f ca="1">IF(A116="","",SMALL(A74:A173,43))</f>
        <v>38.485894582626536</v>
      </c>
      <c r="C116" s="11">
        <f>'FALL 3'!C116</f>
        <v>43</v>
      </c>
      <c r="D116" s="11">
        <f ca="1">(IF(C116=0,"",B116*0.01*(K77-K78)+K78))</f>
        <v>38.71948183656913</v>
      </c>
      <c r="E116" s="11"/>
      <c r="F116" s="11">
        <f ca="1">IF(D116="","",LN((LN(D116*0.01)/-B50))/B51)</f>
        <v>13.625907726156131</v>
      </c>
      <c r="G116" s="11">
        <f t="shared" ca="1" si="17"/>
        <v>38.71948183656913</v>
      </c>
      <c r="H116" s="50" t="str">
        <f ca="1">IF(I176=C116,I116,"")</f>
        <v/>
      </c>
      <c r="I116" s="11">
        <f t="shared" ca="1" si="18"/>
        <v>13.6</v>
      </c>
      <c r="J116" s="11"/>
      <c r="K116" s="11"/>
      <c r="L116" s="11"/>
      <c r="M116" s="11"/>
      <c r="N116" s="11"/>
      <c r="O116" s="11"/>
      <c r="Q116" s="11"/>
      <c r="R116" s="11"/>
      <c r="S116" s="11"/>
      <c r="T116" s="11"/>
      <c r="U116" s="11"/>
      <c r="V116" s="11"/>
      <c r="X116" s="11"/>
    </row>
    <row r="117" spans="1:24" x14ac:dyDescent="0.3">
      <c r="A117" s="11">
        <f t="shared" ca="1" si="19"/>
        <v>82.170865037115789</v>
      </c>
      <c r="B117" s="11">
        <f ca="1">IF(A117="","",SMALL(A74:A173,44))</f>
        <v>40.248097189293503</v>
      </c>
      <c r="C117" s="11">
        <f>'FALL 3'!C117</f>
        <v>44</v>
      </c>
      <c r="D117" s="11">
        <f ca="1">IF(C117=0,"",(B117*0.01*(K77-K78)+K78))</f>
        <v>40.44634666066834</v>
      </c>
      <c r="E117" s="11"/>
      <c r="F117" s="11">
        <f ca="1">IF(D117="","",LN((LN(D117*0.01)/-B50))/B51)</f>
        <v>14.002455178701581</v>
      </c>
      <c r="G117" s="11">
        <f t="shared" ca="1" si="17"/>
        <v>40.44634666066834</v>
      </c>
      <c r="H117" s="50" t="str">
        <f ca="1">IF(I176=C117,I117,"")</f>
        <v/>
      </c>
      <c r="I117" s="11">
        <f t="shared" ca="1" si="18"/>
        <v>14</v>
      </c>
      <c r="J117" s="11"/>
      <c r="K117" s="11"/>
      <c r="L117" s="11"/>
      <c r="M117" s="11"/>
      <c r="N117" s="11"/>
      <c r="O117" s="11"/>
      <c r="Q117" s="11"/>
      <c r="R117" s="11"/>
      <c r="S117" s="11"/>
      <c r="T117" s="11"/>
      <c r="U117" s="11"/>
      <c r="V117" s="11"/>
      <c r="X117" s="11"/>
    </row>
    <row r="118" spans="1:24" x14ac:dyDescent="0.3">
      <c r="A118" s="11">
        <f t="shared" ca="1" si="19"/>
        <v>75.343875189459823</v>
      </c>
      <c r="B118" s="11">
        <f ca="1">IF(A118="","",SMALL(A74:A173,45))</f>
        <v>40.887985740747538</v>
      </c>
      <c r="C118" s="11">
        <f>'FALL 3'!C118</f>
        <v>45</v>
      </c>
      <c r="D118" s="11">
        <f ca="1">IF(C118=0,"",(B118*0.01*(K77-K78)+K78))</f>
        <v>41.073403405828749</v>
      </c>
      <c r="E118" s="11"/>
      <c r="F118" s="11">
        <f ca="1">IF(D118="","",LN((LN(D118*0.01)/-B50))/B51)</f>
        <v>14.13956314457662</v>
      </c>
      <c r="G118" s="11">
        <f t="shared" ca="1" si="17"/>
        <v>41.073403405828749</v>
      </c>
      <c r="H118" s="50" t="str">
        <f ca="1">IF(I176=C118,I118,"")</f>
        <v/>
      </c>
      <c r="I118" s="11">
        <f t="shared" ca="1" si="18"/>
        <v>14.1</v>
      </c>
      <c r="J118" s="11"/>
      <c r="K118" s="11"/>
      <c r="L118" s="11"/>
      <c r="M118" s="11"/>
      <c r="N118" s="11"/>
      <c r="O118" s="11"/>
      <c r="Q118" s="11"/>
      <c r="R118" s="11"/>
      <c r="S118" s="11"/>
      <c r="T118" s="11"/>
      <c r="U118" s="11"/>
      <c r="V118" s="11"/>
      <c r="X118" s="11"/>
    </row>
    <row r="119" spans="1:24" x14ac:dyDescent="0.3">
      <c r="A119" s="11">
        <f t="shared" ca="1" si="19"/>
        <v>69.999571086914443</v>
      </c>
      <c r="B119" s="11">
        <f ca="1">IF(A119="","",SMALL(A74:A173,46))</f>
        <v>41.943122432623468</v>
      </c>
      <c r="C119" s="11">
        <f>'FALL 3'!C119</f>
        <v>46</v>
      </c>
      <c r="D119" s="11">
        <f ca="1">IF(C119=0,"",(B119*0.01*(K77-K78)+K78))</f>
        <v>42.107381241818466</v>
      </c>
      <c r="E119" s="11"/>
      <c r="F119" s="11">
        <f ca="1">IF(D119="","",LN((LN(D119*0.01)/-B50))/B51)</f>
        <v>14.366229732979193</v>
      </c>
      <c r="G119" s="11">
        <f t="shared" ca="1" si="17"/>
        <v>42.107381241818466</v>
      </c>
      <c r="H119" s="50" t="str">
        <f ca="1">IF(I176=C119,I119,"")</f>
        <v/>
      </c>
      <c r="I119" s="11">
        <f t="shared" ca="1" si="18"/>
        <v>14.4</v>
      </c>
      <c r="J119" s="11"/>
      <c r="K119" s="11"/>
      <c r="L119" s="11"/>
      <c r="M119" s="11"/>
      <c r="N119" s="11"/>
      <c r="O119" s="11"/>
      <c r="Q119" s="11"/>
      <c r="R119" s="11"/>
      <c r="S119" s="11"/>
      <c r="T119" s="11"/>
      <c r="U119" s="11"/>
      <c r="V119" s="11"/>
      <c r="X119" s="11"/>
    </row>
    <row r="120" spans="1:24" x14ac:dyDescent="0.3">
      <c r="A120" s="11">
        <f t="shared" ca="1" si="19"/>
        <v>46.519875010849667</v>
      </c>
      <c r="B120" s="11">
        <f ca="1">IF(A120="","",SMALL(A74:A173,47))</f>
        <v>42.527251835919955</v>
      </c>
      <c r="C120" s="11">
        <f>'FALL 3'!C120</f>
        <v>47</v>
      </c>
      <c r="D120" s="11">
        <f ca="1">(IF(C120=0,"",B120*0.01*(K77-K78)+K78))</f>
        <v>42.679796987578051</v>
      </c>
      <c r="E120" s="11"/>
      <c r="F120" s="11">
        <f ca="1">IF(D120="","",LN((LN(D120*0.01)/-B50))/B51)</f>
        <v>14.492077431737247</v>
      </c>
      <c r="G120" s="11">
        <f t="shared" ca="1" si="17"/>
        <v>42.679796987578051</v>
      </c>
      <c r="H120" s="50" t="str">
        <f ca="1">IF(I176=C120,I120,"")</f>
        <v/>
      </c>
      <c r="I120" s="11">
        <f t="shared" ca="1" si="18"/>
        <v>14.5</v>
      </c>
      <c r="J120" s="11"/>
      <c r="K120" s="11"/>
      <c r="L120" s="11"/>
      <c r="M120" s="11"/>
      <c r="N120" s="11"/>
      <c r="O120" s="11"/>
      <c r="Q120" s="11"/>
      <c r="R120" s="11"/>
      <c r="S120" s="11"/>
      <c r="T120" s="11"/>
      <c r="U120" s="11"/>
      <c r="V120" s="11"/>
      <c r="X120" s="11"/>
    </row>
    <row r="121" spans="1:24" x14ac:dyDescent="0.3">
      <c r="A121" s="11">
        <f t="shared" ca="1" si="19"/>
        <v>19.165157236496931</v>
      </c>
      <c r="B121" s="11">
        <f ca="1">IF(A121="","",SMALL(A74:A173,48))</f>
        <v>42.64756325440645</v>
      </c>
      <c r="C121" s="11">
        <f>'FALL 3'!C121</f>
        <v>48</v>
      </c>
      <c r="D121" s="11">
        <f ca="1">IF(C121=0,"",(B121*0.01*(K77-K78)+K78))</f>
        <v>42.797695778407089</v>
      </c>
      <c r="E121" s="11"/>
      <c r="F121" s="11">
        <f ca="1">IF(D121="","",LN((LN(D121*0.01)/-B50))/B51)</f>
        <v>14.518033607965265</v>
      </c>
      <c r="G121" s="11">
        <f t="shared" ca="1" si="17"/>
        <v>42.797695778407089</v>
      </c>
      <c r="H121" s="50" t="str">
        <f ca="1">IF(I176=C121,I121,"")</f>
        <v/>
      </c>
      <c r="I121" s="11">
        <f t="shared" ca="1" si="18"/>
        <v>14.5</v>
      </c>
      <c r="J121" s="11"/>
      <c r="K121" s="11"/>
      <c r="L121" s="11"/>
      <c r="M121" s="11"/>
      <c r="N121" s="11"/>
      <c r="O121" s="11"/>
      <c r="Q121" s="11"/>
      <c r="R121" s="11"/>
      <c r="S121" s="11"/>
      <c r="T121" s="11"/>
      <c r="U121" s="11"/>
      <c r="V121" s="11"/>
      <c r="X121" s="11"/>
    </row>
    <row r="122" spans="1:24" x14ac:dyDescent="0.3">
      <c r="A122" s="11">
        <f t="shared" ca="1" si="19"/>
        <v>47.174797672067406</v>
      </c>
      <c r="B122" s="11">
        <f ca="1">IF(A122="","",SMALL(A74:A173,49))</f>
        <v>42.764662812604882</v>
      </c>
      <c r="C122" s="11">
        <f>'FALL 3'!C122</f>
        <v>49</v>
      </c>
      <c r="D122" s="11">
        <f ca="1">IF(C122=0,"",(B122*0.01*(K77-K78)+K78))</f>
        <v>42.91244711699062</v>
      </c>
      <c r="E122" s="11"/>
      <c r="F122" s="11">
        <f ca="1">IF(D122="","",LN((LN(D122*0.01)/-B50))/B51)</f>
        <v>14.543309095883211</v>
      </c>
      <c r="G122" s="11">
        <f t="shared" ca="1" si="17"/>
        <v>42.91244711699062</v>
      </c>
      <c r="H122" s="50" t="str">
        <f ca="1">IF(I176=C122,I122,"")</f>
        <v/>
      </c>
      <c r="I122" s="11">
        <f t="shared" ca="1" si="18"/>
        <v>14.5</v>
      </c>
      <c r="J122" s="11"/>
      <c r="K122" s="11"/>
      <c r="L122" s="11"/>
      <c r="M122" s="11"/>
      <c r="N122" s="11"/>
      <c r="O122" s="11"/>
      <c r="Q122" s="11"/>
      <c r="R122" s="11"/>
      <c r="S122" s="11"/>
      <c r="T122" s="11"/>
      <c r="U122" s="11"/>
      <c r="V122" s="11"/>
      <c r="X122" s="11"/>
    </row>
    <row r="123" spans="1:24" x14ac:dyDescent="0.3">
      <c r="A123" s="11">
        <f t="shared" ca="1" si="19"/>
        <v>5.7089520016855859</v>
      </c>
      <c r="B123" s="11">
        <f ca="1">IF(A123="","",SMALL(A74:A173,50))</f>
        <v>45.096774778301601</v>
      </c>
      <c r="C123" s="11">
        <f>'FALL 3'!C123</f>
        <v>50</v>
      </c>
      <c r="D123" s="11">
        <f ca="1">(IF(C123=0,"",B123*0.01*(K77-K78)+K78))</f>
        <v>45.197792799823119</v>
      </c>
      <c r="E123" s="11"/>
      <c r="F123" s="11">
        <f ca="1">IF(D123="","",LN((LN(D123*0.01)/-B50))/B51)</f>
        <v>15.049546558539628</v>
      </c>
      <c r="G123" s="11">
        <f t="shared" ca="1" si="17"/>
        <v>45.197792799823119</v>
      </c>
      <c r="H123" s="50" t="str">
        <f ca="1">IF(I176=C123,I123,"")</f>
        <v/>
      </c>
      <c r="I123" s="11">
        <f t="shared" ca="1" si="18"/>
        <v>15</v>
      </c>
      <c r="J123" s="11"/>
      <c r="K123" s="11"/>
      <c r="L123" s="11"/>
      <c r="M123" s="11"/>
      <c r="N123" s="11"/>
      <c r="O123" s="11"/>
      <c r="Q123" s="11"/>
      <c r="R123" s="11"/>
      <c r="S123" s="11"/>
      <c r="T123" s="11"/>
      <c r="U123" s="11"/>
      <c r="V123" s="11"/>
      <c r="X123" s="11"/>
    </row>
    <row r="124" spans="1:24" x14ac:dyDescent="0.3">
      <c r="A124" s="11">
        <f t="shared" ca="1" si="19"/>
        <v>82.996098998149179</v>
      </c>
      <c r="B124" s="11">
        <f ca="1">IF(A124="","",SMALL(A74:A173,51))</f>
        <v>45.131435825901526</v>
      </c>
      <c r="C124" s="11">
        <f>'FALL 3'!C124</f>
        <v>51</v>
      </c>
      <c r="D124" s="11">
        <f ca="1">IF(C124=0,"",(B124*0.01*(K77-K78)+K78))</f>
        <v>45.231758782871999</v>
      </c>
      <c r="E124" s="11"/>
      <c r="F124" s="11">
        <f ca="1">IF(D124="","",LN((LN(D124*0.01)/-B50))/B51)</f>
        <v>15.057116401414627</v>
      </c>
      <c r="G124" s="11">
        <f t="shared" ca="1" si="17"/>
        <v>45.231758782871999</v>
      </c>
      <c r="H124" s="50" t="str">
        <f ca="1">IF(I176=C124,I124,"")</f>
        <v/>
      </c>
      <c r="I124" s="11">
        <f t="shared" ca="1" si="18"/>
        <v>15.1</v>
      </c>
      <c r="J124" s="11"/>
      <c r="K124" s="11"/>
      <c r="L124" s="11"/>
      <c r="M124" s="11"/>
      <c r="N124" s="11"/>
      <c r="O124" s="11"/>
      <c r="Q124" s="11"/>
      <c r="R124" s="11"/>
      <c r="S124" s="11"/>
      <c r="T124" s="11"/>
      <c r="U124" s="11"/>
      <c r="V124" s="11"/>
      <c r="X124" s="11"/>
    </row>
    <row r="125" spans="1:24" x14ac:dyDescent="0.3">
      <c r="A125" s="11">
        <f t="shared" ca="1" si="19"/>
        <v>77.294214300749587</v>
      </c>
      <c r="B125" s="11">
        <f ca="1">IF(A125="","",SMALL(A74:A173,52))</f>
        <v>45.47883392341403</v>
      </c>
      <c r="C125" s="11">
        <f>'FALL 3'!C125</f>
        <v>52</v>
      </c>
      <c r="D125" s="11">
        <f ca="1">IF(C125=0,"",(B125*0.01*(K77-K78)+K78))</f>
        <v>45.572190440550678</v>
      </c>
      <c r="E125" s="11"/>
      <c r="F125" s="11">
        <f ca="1">IF(D125="","",LN((LN(D125*0.01)/-B50))/B51)</f>
        <v>15.133069623194285</v>
      </c>
      <c r="G125" s="11">
        <f t="shared" ca="1" si="17"/>
        <v>45.572190440550678</v>
      </c>
      <c r="H125" s="50" t="str">
        <f ca="1">IF(I176=C125,I125,"")</f>
        <v/>
      </c>
      <c r="I125" s="11">
        <f t="shared" ca="1" si="18"/>
        <v>15.1</v>
      </c>
      <c r="J125" s="11"/>
      <c r="K125" s="11"/>
      <c r="L125" s="11"/>
      <c r="M125" s="11"/>
      <c r="N125" s="11"/>
      <c r="O125" s="11"/>
      <c r="Q125" s="11"/>
      <c r="R125" s="11"/>
      <c r="S125" s="11"/>
      <c r="T125" s="11"/>
      <c r="U125" s="11"/>
      <c r="V125" s="11"/>
      <c r="X125" s="11"/>
    </row>
    <row r="126" spans="1:24" x14ac:dyDescent="0.3">
      <c r="A126" s="11">
        <f t="shared" ca="1" si="19"/>
        <v>2.3210931377733552</v>
      </c>
      <c r="B126" s="11">
        <f ca="1">IF(A126="","",SMALL(A74:A173,53))</f>
        <v>45.645021212545792</v>
      </c>
      <c r="C126" s="11">
        <f>'FALL 3'!C126</f>
        <v>53</v>
      </c>
      <c r="D126" s="11">
        <f ca="1">IF(C126=0,"",(B126*0.01*(K77-K78)+K78))</f>
        <v>45.735045144503729</v>
      </c>
      <c r="E126" s="11"/>
      <c r="F126" s="11">
        <f ca="1">IF(D126="","",LN((LN(D126*0.01)/-B50))/B51)</f>
        <v>15.169458255557645</v>
      </c>
      <c r="G126" s="11">
        <f t="shared" ca="1" si="17"/>
        <v>45.735045144503729</v>
      </c>
      <c r="H126" s="50" t="str">
        <f ca="1">IF(I176=C126,I126,"")</f>
        <v/>
      </c>
      <c r="I126" s="11">
        <f t="shared" ca="1" si="18"/>
        <v>15.2</v>
      </c>
      <c r="J126" s="11"/>
      <c r="K126" s="11"/>
      <c r="L126" s="11"/>
      <c r="M126" s="11"/>
      <c r="N126" s="11"/>
      <c r="O126" s="11"/>
      <c r="Q126" s="11"/>
      <c r="R126" s="11"/>
      <c r="S126" s="11"/>
      <c r="T126" s="11"/>
      <c r="U126" s="11"/>
      <c r="V126" s="11"/>
      <c r="X126" s="11"/>
    </row>
    <row r="127" spans="1:24" x14ac:dyDescent="0.3">
      <c r="A127" s="11">
        <f t="shared" ca="1" si="19"/>
        <v>22.66610817703523</v>
      </c>
      <c r="B127" s="11">
        <f ca="1">IF(A127="","",SMALL(A74:A173,54))</f>
        <v>46.064691747729199</v>
      </c>
      <c r="C127" s="11">
        <f>'FALL 3'!C127</f>
        <v>54</v>
      </c>
      <c r="D127" s="11">
        <f ca="1">(IF(C127=0,"",B127*0.01*(K77-K78)+K78))</f>
        <v>46.146299946974963</v>
      </c>
      <c r="E127" s="11"/>
      <c r="F127" s="11">
        <f ca="1">IF(D127="","",LN((LN(D127*0.01)/-B50))/B51)</f>
        <v>15.261512056437557</v>
      </c>
      <c r="G127" s="11">
        <f t="shared" ca="1" si="17"/>
        <v>46.146299946974963</v>
      </c>
      <c r="H127" s="50" t="str">
        <f ca="1">IF(I176=C127,I127,"")</f>
        <v/>
      </c>
      <c r="I127" s="11">
        <f t="shared" ca="1" si="18"/>
        <v>15.3</v>
      </c>
      <c r="J127" s="11"/>
      <c r="K127" s="11"/>
      <c r="L127" s="11"/>
      <c r="M127" s="11"/>
      <c r="N127" s="11"/>
      <c r="O127" s="11"/>
      <c r="Q127" s="11"/>
      <c r="R127" s="11"/>
      <c r="S127" s="11"/>
      <c r="T127" s="11"/>
      <c r="U127" s="11"/>
      <c r="V127" s="11"/>
      <c r="X127" s="11"/>
    </row>
    <row r="128" spans="1:24" x14ac:dyDescent="0.3">
      <c r="A128" s="11">
        <f t="shared" ca="1" si="19"/>
        <v>64.209943240490091</v>
      </c>
      <c r="B128" s="11">
        <f ca="1">IF(A128="","",SMALL(A74:A173,55))</f>
        <v>46.519875010849667</v>
      </c>
      <c r="C128" s="11">
        <f>'FALL 3'!C128</f>
        <v>55</v>
      </c>
      <c r="D128" s="11">
        <f ca="1">IF(C128=0,"",(B128*0.01*(K77-K78)+K78))</f>
        <v>46.592355333925127</v>
      </c>
      <c r="E128" s="11"/>
      <c r="F128" s="11">
        <f ca="1">IF(D128="","",LN((LN(D128*0.01)/-B50))/B51)</f>
        <v>15.361628002885986</v>
      </c>
      <c r="G128" s="11">
        <f t="shared" ca="1" si="17"/>
        <v>46.592355333925127</v>
      </c>
      <c r="H128" s="50" t="str">
        <f ca="1">IF(I176=C128,I128,"")</f>
        <v/>
      </c>
      <c r="I128" s="11">
        <f t="shared" ca="1" si="18"/>
        <v>15.4</v>
      </c>
      <c r="J128" s="11"/>
      <c r="K128" s="11"/>
      <c r="L128" s="11"/>
      <c r="M128" s="11"/>
      <c r="N128" s="11"/>
      <c r="O128" s="11"/>
      <c r="Q128" s="11"/>
      <c r="R128" s="11"/>
      <c r="S128" s="11"/>
      <c r="T128" s="11"/>
      <c r="U128" s="11"/>
      <c r="V128" s="11"/>
      <c r="X128" s="11"/>
    </row>
    <row r="129" spans="1:24" x14ac:dyDescent="0.3">
      <c r="A129" s="11">
        <f t="shared" ca="1" si="19"/>
        <v>41.943122432623468</v>
      </c>
      <c r="B129" s="11">
        <f ca="1">IF(A129="","",SMALL(A74:A173,56))</f>
        <v>47.174797672067406</v>
      </c>
      <c r="C129" s="11">
        <f>'FALL 3'!C129</f>
        <v>56</v>
      </c>
      <c r="D129" s="11">
        <f ca="1">IF(C129=0,"",(B129*0.01*(K77-K78)+K78))</f>
        <v>47.234144706999245</v>
      </c>
      <c r="E129" s="11"/>
      <c r="F129" s="11">
        <f ca="1">IF(D129="","",LN((LN(D129*0.01)/-B50))/B51)</f>
        <v>15.506200471368121</v>
      </c>
      <c r="G129" s="11">
        <f t="shared" ca="1" si="17"/>
        <v>47.234144706999245</v>
      </c>
      <c r="H129" s="50" t="str">
        <f ca="1">IF(I176=C129,I129,"")</f>
        <v/>
      </c>
      <c r="I129" s="11">
        <f t="shared" ca="1" si="18"/>
        <v>15.5</v>
      </c>
      <c r="J129" s="11"/>
      <c r="K129" s="11"/>
      <c r="L129" s="11"/>
      <c r="M129" s="11"/>
      <c r="N129" s="11"/>
      <c r="O129" s="11"/>
      <c r="Q129" s="11"/>
      <c r="R129" s="11"/>
      <c r="S129" s="11"/>
      <c r="T129" s="11"/>
      <c r="U129" s="11"/>
      <c r="V129" s="11"/>
      <c r="X129" s="11"/>
    </row>
    <row r="130" spans="1:24" x14ac:dyDescent="0.3">
      <c r="A130" s="11">
        <f t="shared" ca="1" si="19"/>
        <v>48.024743567904558</v>
      </c>
      <c r="B130" s="11">
        <f ca="1">IF(A130="","",SMALL(A74:A173,57))</f>
        <v>48.024743567904558</v>
      </c>
      <c r="C130" s="11">
        <f>'FALL 3'!C130</f>
        <v>57</v>
      </c>
      <c r="D130" s="11">
        <f ca="1">IF(C130=0,"",(B130*0.01*(K77-K78)+K78))</f>
        <v>48.067046476838726</v>
      </c>
      <c r="E130" s="11"/>
      <c r="F130" s="11">
        <f ca="1">IF(D130="","",LN((LN(D130*0.01)/-B50))/B51)</f>
        <v>15.694808251461748</v>
      </c>
      <c r="G130" s="11">
        <f t="shared" ca="1" si="17"/>
        <v>48.067046476838726</v>
      </c>
      <c r="H130" s="50" t="str">
        <f ca="1">IF(I176=C130,I130,"")</f>
        <v/>
      </c>
      <c r="I130" s="11">
        <f t="shared" ca="1" si="18"/>
        <v>15.7</v>
      </c>
      <c r="J130" s="11"/>
      <c r="K130" s="11"/>
      <c r="L130" s="11"/>
      <c r="M130" s="11"/>
      <c r="N130" s="11"/>
      <c r="O130" s="11"/>
      <c r="Q130" s="11"/>
      <c r="R130" s="11"/>
      <c r="S130" s="11"/>
      <c r="T130" s="11"/>
      <c r="U130" s="11"/>
      <c r="V130" s="11"/>
      <c r="X130" s="11"/>
    </row>
    <row r="131" spans="1:24" x14ac:dyDescent="0.3">
      <c r="A131" s="11">
        <f t="shared" ca="1" si="19"/>
        <v>57.057053405632232</v>
      </c>
      <c r="B131" s="11">
        <f ca="1">IF(A131="","",SMALL(A74:A173,58))</f>
        <v>49.691148443190642</v>
      </c>
      <c r="C131" s="11">
        <f>'FALL 3'!C131</f>
        <v>58</v>
      </c>
      <c r="D131" s="11">
        <f ca="1">(IF(C131=0,"",B131*0.01*(K77-K78)+K78))</f>
        <v>49.700034619604992</v>
      </c>
      <c r="E131" s="11"/>
      <c r="F131" s="11">
        <f ca="1">IF(D131="","",LN((LN(D131*0.01)/-B50))/B51)</f>
        <v>16.068153662909619</v>
      </c>
      <c r="G131" s="11">
        <f t="shared" ca="1" si="17"/>
        <v>49.700034619604992</v>
      </c>
      <c r="H131" s="50" t="str">
        <f ca="1">IF(I176=C131,I131,"")</f>
        <v/>
      </c>
      <c r="I131" s="11">
        <f t="shared" ca="1" si="18"/>
        <v>16.100000000000001</v>
      </c>
      <c r="J131" s="11"/>
      <c r="K131" s="11"/>
      <c r="L131" s="11"/>
      <c r="M131" s="11"/>
      <c r="N131" s="11"/>
      <c r="O131" s="11"/>
      <c r="Q131" s="11"/>
      <c r="R131" s="11"/>
      <c r="S131" s="11"/>
      <c r="T131" s="11"/>
      <c r="U131" s="11"/>
      <c r="V131" s="11"/>
      <c r="X131" s="11"/>
    </row>
    <row r="132" spans="1:24" x14ac:dyDescent="0.3">
      <c r="A132" s="11">
        <f t="shared" ca="1" si="19"/>
        <v>57.963653871992953</v>
      </c>
      <c r="B132" s="11">
        <f ca="1">IF(A132="","",SMALL(A74:A173,59))</f>
        <v>49.839586191156599</v>
      </c>
      <c r="C132" s="11">
        <f>'FALL 3'!C132</f>
        <v>59</v>
      </c>
      <c r="D132" s="11">
        <f ca="1">IF(C132=0,"",(B132*0.01*(K77-K78)+K78))</f>
        <v>49.845495717302349</v>
      </c>
      <c r="E132" s="11"/>
      <c r="F132" s="11">
        <f ca="1">IF(D132="","",LN((LN(D132*0.01)/-B50))/B51)</f>
        <v>16.10165714830385</v>
      </c>
      <c r="G132" s="11">
        <f t="shared" ca="1" si="17"/>
        <v>49.845495717302349</v>
      </c>
      <c r="H132" s="50" t="str">
        <f ca="1">IF(I176=C132,I132,"")</f>
        <v/>
      </c>
      <c r="I132" s="11">
        <f t="shared" ca="1" si="18"/>
        <v>16.100000000000001</v>
      </c>
      <c r="J132" s="11"/>
      <c r="K132" s="11"/>
      <c r="L132" s="11"/>
      <c r="M132" s="11"/>
      <c r="N132" s="11"/>
      <c r="O132" s="11"/>
      <c r="Q132" s="11"/>
      <c r="R132" s="11"/>
      <c r="S132" s="11"/>
      <c r="T132" s="11"/>
      <c r="U132" s="11"/>
      <c r="V132" s="11"/>
      <c r="X132" s="11"/>
    </row>
    <row r="133" spans="1:24" x14ac:dyDescent="0.3">
      <c r="A133" s="11">
        <f t="shared" ca="1" si="19"/>
        <v>49.839586191156599</v>
      </c>
      <c r="B133" s="11">
        <f ca="1">IF(A133="","",SMALL(A74:A173,60))</f>
        <v>50.172602681297342</v>
      </c>
      <c r="C133" s="11">
        <f>'FALL 3'!C133</f>
        <v>60</v>
      </c>
      <c r="D133" s="11">
        <f ca="1">IF(C133=0,"",(B133*0.01*(K77-K78)+K78))</f>
        <v>50.171834164705238</v>
      </c>
      <c r="E133" s="11"/>
      <c r="F133" s="11">
        <f ca="1">IF(D133="","",LN((LN(D133*0.01)/-B50))/B51)</f>
        <v>16.17697748525055</v>
      </c>
      <c r="G133" s="11">
        <f t="shared" ca="1" si="17"/>
        <v>50.171834164705238</v>
      </c>
      <c r="H133" s="50" t="str">
        <f ca="1">IF(I176=C133,I133,"")</f>
        <v/>
      </c>
      <c r="I133" s="11">
        <f t="shared" ca="1" si="18"/>
        <v>16.2</v>
      </c>
      <c r="J133" s="11"/>
      <c r="K133" s="11"/>
      <c r="L133" s="11"/>
      <c r="M133" s="11"/>
      <c r="N133" s="11"/>
      <c r="O133" s="11"/>
      <c r="Q133" s="11"/>
      <c r="R133" s="11"/>
      <c r="S133" s="11"/>
      <c r="T133" s="11"/>
      <c r="U133" s="11"/>
      <c r="V133" s="11"/>
      <c r="X133" s="11"/>
    </row>
    <row r="134" spans="1:24" x14ac:dyDescent="0.3">
      <c r="A134" s="11">
        <f t="shared" ca="1" si="19"/>
        <v>10.53043649250084</v>
      </c>
      <c r="B134" s="11">
        <f ca="1">IF(A134="","",SMALL(A74:A173,61))</f>
        <v>54.990009558994942</v>
      </c>
      <c r="C134" s="11">
        <f>'FALL 3'!C134</f>
        <v>61</v>
      </c>
      <c r="D134" s="11">
        <f ca="1">IF(C134=0,"",(B134*0.01*(K77-K78)+K78))</f>
        <v>54.892636670044951</v>
      </c>
      <c r="E134" s="11"/>
      <c r="F134" s="11">
        <f ca="1">IF(D134="","",LN((LN(D134*0.01)/-B50))/B51)</f>
        <v>17.29435230408577</v>
      </c>
      <c r="G134" s="11">
        <f t="shared" ca="1" si="17"/>
        <v>54.892636670044951</v>
      </c>
      <c r="H134" s="50" t="str">
        <f ca="1">IF(I176=C134,I134,"")</f>
        <v/>
      </c>
      <c r="I134" s="11">
        <f t="shared" ca="1" si="18"/>
        <v>17.3</v>
      </c>
      <c r="J134" s="11"/>
      <c r="K134" s="11"/>
      <c r="L134" s="11"/>
      <c r="M134" s="11"/>
      <c r="N134" s="11"/>
      <c r="O134" s="11"/>
      <c r="Q134" s="11"/>
      <c r="R134" s="11"/>
      <c r="S134" s="11"/>
      <c r="T134" s="11"/>
      <c r="U134" s="11"/>
      <c r="V134" s="11"/>
      <c r="X134" s="11"/>
    </row>
    <row r="135" spans="1:24" x14ac:dyDescent="0.3">
      <c r="A135" s="11">
        <f t="shared" ca="1" si="19"/>
        <v>45.131435825901526</v>
      </c>
      <c r="B135" s="11">
        <f ca="1">IF(A135="","",SMALL(A74:A173,62))</f>
        <v>55.921474171140048</v>
      </c>
      <c r="C135" s="11">
        <f>'FALL 3'!C135</f>
        <v>62</v>
      </c>
      <c r="D135" s="11">
        <f ca="1">(IF(C135=0,"",B135*0.01*(K77-K78)+K78))</f>
        <v>55.805422445937623</v>
      </c>
      <c r="E135" s="11"/>
      <c r="F135" s="11">
        <f ca="1">IF(D135="","",LN((LN(D135*0.01)/-B50))/B51)</f>
        <v>17.517356857849457</v>
      </c>
      <c r="G135" s="11">
        <f t="shared" ca="1" si="17"/>
        <v>55.805422445937623</v>
      </c>
      <c r="H135" s="50" t="str">
        <f ca="1">IF(I176=C135,I135,"")</f>
        <v/>
      </c>
      <c r="I135" s="11">
        <f t="shared" ca="1" si="18"/>
        <v>17.5</v>
      </c>
      <c r="J135" s="11"/>
      <c r="K135" s="11"/>
      <c r="L135" s="11"/>
      <c r="M135" s="11"/>
      <c r="N135" s="11"/>
      <c r="O135" s="11"/>
      <c r="Q135" s="11"/>
      <c r="R135" s="11"/>
      <c r="S135" s="11"/>
      <c r="T135" s="11"/>
      <c r="U135" s="11"/>
      <c r="V135" s="11"/>
      <c r="X135" s="11"/>
    </row>
    <row r="136" spans="1:24" x14ac:dyDescent="0.3">
      <c r="A136" s="11">
        <f t="shared" ca="1" si="19"/>
        <v>8.6086870533608284</v>
      </c>
      <c r="B136" s="11">
        <f ca="1">IF(A136="","",SMALL(A74:A173,63))</f>
        <v>57.057053405632232</v>
      </c>
      <c r="C136" s="11">
        <f>'FALL 3'!C136</f>
        <v>63</v>
      </c>
      <c r="D136" s="11">
        <f ca="1">IF(C136=0,"",(B136*0.01*(K77-K78)+K78))</f>
        <v>56.918229695003653</v>
      </c>
      <c r="E136" s="11"/>
      <c r="F136" s="11">
        <f ca="1">IF(D136="","",LN((LN(D136*0.01)/-B50))/B51)</f>
        <v>17.792791548030042</v>
      </c>
      <c r="G136" s="11">
        <f t="shared" ca="1" si="17"/>
        <v>56.918229695003653</v>
      </c>
      <c r="H136" s="50" t="str">
        <f ca="1">IF(I176=C136,I136,"")</f>
        <v/>
      </c>
      <c r="I136" s="11">
        <f t="shared" ca="1" si="18"/>
        <v>17.8</v>
      </c>
      <c r="J136" s="11"/>
      <c r="K136" s="11"/>
      <c r="L136" s="11"/>
      <c r="M136" s="11"/>
      <c r="N136" s="11"/>
      <c r="O136" s="11"/>
      <c r="Q136" s="11"/>
      <c r="R136" s="11"/>
      <c r="S136" s="11"/>
      <c r="T136" s="11"/>
      <c r="U136" s="11"/>
      <c r="V136" s="11"/>
      <c r="X136" s="11"/>
    </row>
    <row r="137" spans="1:24" x14ac:dyDescent="0.3">
      <c r="A137" s="11">
        <f t="shared" ca="1" si="19"/>
        <v>18.096694046407926</v>
      </c>
      <c r="B137" s="11">
        <f ca="1">IF(A137="","",SMALL(A74:A173,64))</f>
        <v>57.231159567227657</v>
      </c>
      <c r="C137" s="11">
        <f>'FALL 3'!C137</f>
        <v>64</v>
      </c>
      <c r="D137" s="11">
        <f ca="1">IF(C137=0,"",(B137*0.01*(K77-K78)+K78))</f>
        <v>57.088844472771321</v>
      </c>
      <c r="E137" s="11"/>
      <c r="F137" s="11">
        <f ca="1">IF(D137="","",LN((LN(D137*0.01)/-B50))/B51)</f>
        <v>17.835384702069547</v>
      </c>
      <c r="G137" s="11">
        <f t="shared" ca="1" si="17"/>
        <v>57.088844472771321</v>
      </c>
      <c r="H137" s="50" t="str">
        <f ca="1">IF(I176=C137,I137,"")</f>
        <v/>
      </c>
      <c r="I137" s="11">
        <f t="shared" ca="1" si="18"/>
        <v>17.8</v>
      </c>
      <c r="J137" s="11"/>
      <c r="K137" s="11"/>
      <c r="L137" s="11"/>
      <c r="M137" s="11"/>
      <c r="N137" s="11"/>
      <c r="O137" s="11"/>
      <c r="Q137" s="11"/>
      <c r="R137" s="11"/>
      <c r="S137" s="11"/>
      <c r="T137" s="11"/>
      <c r="U137" s="11"/>
      <c r="V137" s="11"/>
      <c r="X137" s="11"/>
    </row>
    <row r="138" spans="1:24" x14ac:dyDescent="0.3">
      <c r="A138" s="11">
        <f t="shared" ca="1" si="19"/>
        <v>15.018448098362695</v>
      </c>
      <c r="B138" s="11">
        <f ca="1">IF(A138="","",SMALL(A74:A173,65))</f>
        <v>57.963653871992953</v>
      </c>
      <c r="C138" s="11">
        <f>'FALL 3'!C138</f>
        <v>65</v>
      </c>
      <c r="D138" s="11">
        <f ca="1">IF(C138=0,"",(B138*0.01*(K77-K78)+K78))</f>
        <v>57.806649930535713</v>
      </c>
      <c r="E138" s="11"/>
      <c r="F138" s="11">
        <f ca="1">IF(D138="","",LN((LN(D138*0.01)/-B50))/B51)</f>
        <v>18.015689278198391</v>
      </c>
      <c r="G138" s="11">
        <f t="shared" ref="G138:G173" ca="1" si="20">D138</f>
        <v>57.806649930535713</v>
      </c>
      <c r="H138" s="50" t="str">
        <f ca="1">IF(I176=C138,I138,"")</f>
        <v/>
      </c>
      <c r="I138" s="11">
        <f t="shared" ref="I138:I173" ca="1" si="21">IF(F138="","",ROUND(F138,1))</f>
        <v>18</v>
      </c>
      <c r="J138" s="11"/>
      <c r="K138" s="11"/>
      <c r="L138" s="11"/>
      <c r="M138" s="11"/>
      <c r="N138" s="11"/>
      <c r="O138" s="11"/>
      <c r="Q138" s="11"/>
      <c r="R138" s="11"/>
      <c r="S138" s="11"/>
      <c r="T138" s="11"/>
      <c r="U138" s="11"/>
      <c r="V138" s="11"/>
      <c r="X138" s="11"/>
    </row>
    <row r="139" spans="1:24" x14ac:dyDescent="0.3">
      <c r="A139" s="11">
        <f t="shared" ref="A139:A173" ca="1" si="22">IF(C139=0,"",RAND()*(99-1)+1)</f>
        <v>22.363985131911313</v>
      </c>
      <c r="B139" s="11">
        <f ca="1">IF(A139="","",SMALL(A74:A173,66))</f>
        <v>58.464920340926298</v>
      </c>
      <c r="C139" s="11">
        <f>'FALL 3'!C139</f>
        <v>66</v>
      </c>
      <c r="D139" s="11">
        <f ca="1">IF(C139=0,"",(B139*0.01*(K77-K78)+K78))</f>
        <v>58.297864408046124</v>
      </c>
      <c r="E139" s="11"/>
      <c r="F139" s="11">
        <f ca="1">IF(D139="","",LN((LN(D139*0.01)/-B50))/B51)</f>
        <v>18.140140895198577</v>
      </c>
      <c r="G139" s="11">
        <f t="shared" ca="1" si="20"/>
        <v>58.297864408046124</v>
      </c>
      <c r="H139" s="50" t="str">
        <f>IF(176=C139,I139,"")</f>
        <v/>
      </c>
      <c r="I139" s="11">
        <f t="shared" ca="1" si="21"/>
        <v>18.100000000000001</v>
      </c>
      <c r="J139" s="11"/>
      <c r="K139" s="11"/>
      <c r="L139" s="11"/>
      <c r="M139" s="11"/>
      <c r="N139" s="11"/>
      <c r="O139" s="11"/>
      <c r="Q139" s="11"/>
      <c r="R139" s="11"/>
      <c r="S139" s="11"/>
      <c r="T139" s="11"/>
      <c r="U139" s="11"/>
      <c r="V139" s="11"/>
      <c r="X139" s="11"/>
    </row>
    <row r="140" spans="1:24" x14ac:dyDescent="0.3">
      <c r="A140" s="11">
        <f t="shared" ca="1" si="22"/>
        <v>20.069201538126915</v>
      </c>
      <c r="B140" s="11">
        <f ca="1">IF(A140="","",SMALL(A74:A173,67))</f>
        <v>61.62027419648895</v>
      </c>
      <c r="C140" s="11">
        <f>'FALL 3'!C140</f>
        <v>67</v>
      </c>
      <c r="D140" s="11">
        <f ca="1">IF(C140=0,"",(B140*0.01*(K77-K78)+K78))</f>
        <v>61.389943355235388</v>
      </c>
      <c r="E140" s="11"/>
      <c r="F140" s="11">
        <f ca="1">IF(D140="","",LN((LN(D140*0.01)/-B50))/B51)</f>
        <v>18.94539808006413</v>
      </c>
      <c r="G140" s="11">
        <f t="shared" ca="1" si="20"/>
        <v>61.389943355235388</v>
      </c>
      <c r="H140" s="50" t="str">
        <f ca="1">IF(I176=C140,I140,"")</f>
        <v/>
      </c>
      <c r="I140" s="11">
        <f t="shared" ca="1" si="21"/>
        <v>18.899999999999999</v>
      </c>
      <c r="J140" s="11"/>
      <c r="K140" s="11"/>
      <c r="L140" s="11"/>
      <c r="M140" s="11"/>
      <c r="N140" s="11"/>
      <c r="O140" s="11"/>
      <c r="Q140" s="11"/>
      <c r="R140" s="11"/>
      <c r="S140" s="11"/>
      <c r="T140" s="11"/>
      <c r="U140" s="11"/>
      <c r="V140" s="11"/>
      <c r="X140" s="11"/>
    </row>
    <row r="141" spans="1:24" x14ac:dyDescent="0.3">
      <c r="A141" s="11">
        <f t="shared" ca="1" si="22"/>
        <v>61.624048016440454</v>
      </c>
      <c r="B141" s="11">
        <f ca="1">IF(A141="","",SMALL(A74:A173,68))</f>
        <v>61.624048016440454</v>
      </c>
      <c r="C141" s="11">
        <f>'FALL 3'!C141</f>
        <v>68</v>
      </c>
      <c r="D141" s="11">
        <f ca="1">(IF(C141=0,"",B141*0.01*(K77-K78)+K78))</f>
        <v>61.393641498060781</v>
      </c>
      <c r="E141" s="11"/>
      <c r="F141" s="11">
        <f ca="1">IF(D141="","",LN((LN(D141*0.01)/-B50))/B51)</f>
        <v>18.946385615281866</v>
      </c>
      <c r="G141" s="11">
        <f t="shared" ca="1" si="20"/>
        <v>61.393641498060781</v>
      </c>
      <c r="H141" s="50">
        <f ca="1">IF(I176=C141,I141,"")</f>
        <v>18.899999999999999</v>
      </c>
      <c r="I141" s="11">
        <f t="shared" ca="1" si="21"/>
        <v>18.899999999999999</v>
      </c>
      <c r="J141" s="11"/>
      <c r="K141" s="11"/>
      <c r="L141" s="11"/>
      <c r="M141" s="11"/>
      <c r="N141" s="11"/>
      <c r="O141" s="11"/>
      <c r="Q141" s="11"/>
      <c r="R141" s="11"/>
      <c r="S141" s="11"/>
      <c r="T141" s="11"/>
      <c r="U141" s="11"/>
      <c r="V141" s="11"/>
      <c r="X141" s="11"/>
    </row>
    <row r="142" spans="1:24" x14ac:dyDescent="0.3">
      <c r="A142" s="11">
        <f t="shared" ca="1" si="22"/>
        <v>95.286660752850921</v>
      </c>
      <c r="B142" s="11">
        <f ca="1">IF(A142="","",SMALL(A74:A173,69))</f>
        <v>61.705597331283826</v>
      </c>
      <c r="C142" s="11">
        <f>'FALL 3'!C142</f>
        <v>69</v>
      </c>
      <c r="D142" s="11">
        <f ca="1">(IF(C142=0,"",B142*0.01*(K77-K78)+K78))</f>
        <v>61.473555489051158</v>
      </c>
      <c r="E142" s="11"/>
      <c r="F142" s="11">
        <f ca="1">IF(D142="","",LN((LN(D142*0.01)/-B50))/B51)</f>
        <v>18.96774076395419</v>
      </c>
      <c r="G142" s="11">
        <f t="shared" ca="1" si="20"/>
        <v>61.473555489051158</v>
      </c>
      <c r="H142" s="50" t="str">
        <f ca="1">IF(I176=C142,I142,"")</f>
        <v/>
      </c>
      <c r="I142" s="11">
        <f t="shared" ca="1" si="21"/>
        <v>19</v>
      </c>
      <c r="J142" s="11"/>
      <c r="K142" s="11"/>
      <c r="L142" s="11"/>
      <c r="M142" s="11"/>
      <c r="N142" s="11"/>
      <c r="O142" s="11"/>
      <c r="Q142" s="11"/>
      <c r="R142" s="11"/>
      <c r="S142" s="11"/>
      <c r="T142" s="11"/>
      <c r="U142" s="11"/>
      <c r="V142" s="11"/>
      <c r="X142" s="11"/>
    </row>
    <row r="143" spans="1:24" x14ac:dyDescent="0.3">
      <c r="A143" s="11">
        <f t="shared" ca="1" si="22"/>
        <v>93.945212033707335</v>
      </c>
      <c r="B143" s="11">
        <f ca="1">IF(A143="","",SMALL(A74:A173,70))</f>
        <v>61.739216598369225</v>
      </c>
      <c r="C143" s="11">
        <f>'FALL 3'!C143</f>
        <v>70</v>
      </c>
      <c r="D143" s="11">
        <f ca="1">(IF(C143=0,"",B143*0.01*(K77-K78)+K78))</f>
        <v>61.506500582607444</v>
      </c>
      <c r="E143" s="11"/>
      <c r="F143" s="11">
        <f ca="1">IF(D143="","",LN((LN(D143*0.01)/-B50))/B51)</f>
        <v>18.976553096006128</v>
      </c>
      <c r="G143" s="11">
        <f t="shared" ca="1" si="20"/>
        <v>61.506500582607444</v>
      </c>
      <c r="H143" s="50" t="str">
        <f ca="1">IF(I176=C143,I143,"")</f>
        <v/>
      </c>
      <c r="I143" s="11">
        <f t="shared" ca="1" si="21"/>
        <v>19</v>
      </c>
      <c r="J143" s="11"/>
      <c r="K143" s="11"/>
      <c r="L143" s="11"/>
      <c r="M143" s="11"/>
      <c r="N143" s="11"/>
      <c r="O143" s="11"/>
      <c r="Q143" s="11"/>
      <c r="R143" s="11"/>
      <c r="S143" s="11"/>
      <c r="T143" s="11"/>
      <c r="U143" s="11"/>
      <c r="V143" s="11"/>
      <c r="X143" s="11"/>
    </row>
    <row r="144" spans="1:24" x14ac:dyDescent="0.3">
      <c r="A144" s="11">
        <f t="shared" ca="1" si="22"/>
        <v>33.716555255162135</v>
      </c>
      <c r="B144" s="11">
        <f ca="1">IF(A144="","",SMALL(A74:A173,71))</f>
        <v>64.209943240490091</v>
      </c>
      <c r="C144" s="11">
        <f>'FALL 3'!C144</f>
        <v>71</v>
      </c>
      <c r="D144" s="11">
        <f ca="1">(IF(C144=0,"",B144*0.01*(K77-K78)+K78))</f>
        <v>63.927681275509244</v>
      </c>
      <c r="E144" s="11"/>
      <c r="F144" s="11">
        <f ca="1">IF(D144="","",LN((LN(D144*0.01)/-B50))/B51)</f>
        <v>19.638600480812165</v>
      </c>
      <c r="G144" s="11">
        <f t="shared" ca="1" si="20"/>
        <v>63.927681275509244</v>
      </c>
      <c r="H144" s="50" t="str">
        <f ca="1">IF(I176=C144,I144,"")</f>
        <v/>
      </c>
      <c r="I144" s="11">
        <f t="shared" ca="1" si="21"/>
        <v>19.600000000000001</v>
      </c>
      <c r="J144" s="11"/>
      <c r="K144" s="11"/>
      <c r="L144" s="11"/>
      <c r="M144" s="11"/>
      <c r="N144" s="11"/>
      <c r="O144" s="11"/>
      <c r="Q144" s="11"/>
      <c r="R144" s="11"/>
      <c r="S144" s="11"/>
      <c r="T144" s="11"/>
      <c r="U144" s="11"/>
      <c r="V144" s="11"/>
      <c r="X144" s="11"/>
    </row>
    <row r="145" spans="1:24" x14ac:dyDescent="0.3">
      <c r="A145" s="11">
        <f t="shared" ca="1" si="22"/>
        <v>75.835971144184526</v>
      </c>
      <c r="B145" s="11">
        <f ca="1">IF(A145="","",SMALL(A74:A173,72))</f>
        <v>66.060567090885314</v>
      </c>
      <c r="C145" s="11">
        <f>'FALL 3'!C145</f>
        <v>72</v>
      </c>
      <c r="D145" s="11">
        <f ca="1">(IF(C145=0,"",B145*0.01*(K77-K78)+K78))</f>
        <v>65.741194215392483</v>
      </c>
      <c r="E145" s="11"/>
      <c r="F145" s="11">
        <f ca="1">IF(D145="","",LN((LN(D145*0.01)/-B50))/B51)</f>
        <v>20.154991546314474</v>
      </c>
      <c r="G145" s="11">
        <f t="shared" ca="1" si="20"/>
        <v>65.741194215392483</v>
      </c>
      <c r="H145" s="50" t="str">
        <f ca="1">IF(I176=C145,I145,"")</f>
        <v/>
      </c>
      <c r="I145" s="11">
        <f t="shared" ca="1" si="21"/>
        <v>20.2</v>
      </c>
      <c r="J145" s="11"/>
      <c r="K145" s="11"/>
      <c r="L145" s="11"/>
      <c r="M145" s="11"/>
      <c r="N145" s="11"/>
      <c r="O145" s="11"/>
      <c r="Q145" s="11"/>
      <c r="R145" s="11"/>
      <c r="S145" s="11"/>
      <c r="T145" s="11"/>
      <c r="U145" s="11"/>
      <c r="V145" s="11"/>
      <c r="X145" s="11"/>
    </row>
    <row r="146" spans="1:24" x14ac:dyDescent="0.3">
      <c r="A146" s="11">
        <f t="shared" ca="1" si="22"/>
        <v>34.688641730273304</v>
      </c>
      <c r="B146" s="11">
        <f ca="1">IF(A146="","",SMALL(A74:A173,73))</f>
        <v>66.653251272831909</v>
      </c>
      <c r="C146" s="11">
        <f>'FALL 3'!C146</f>
        <v>73</v>
      </c>
      <c r="D146" s="11">
        <f ca="1">(IF(C146=0,"",B146*0.01*(K77-K78)+K78))</f>
        <v>66.321993189205955</v>
      </c>
      <c r="E146" s="11"/>
      <c r="F146" s="11">
        <f ca="1">IF(D146="","",LN((LN(D146*0.01)/-B50))/B51)</f>
        <v>20.324503783022472</v>
      </c>
      <c r="G146" s="11">
        <f t="shared" ca="1" si="20"/>
        <v>66.321993189205955</v>
      </c>
      <c r="H146" s="50" t="str">
        <f ca="1">IF(I176=C146,I146,"")</f>
        <v/>
      </c>
      <c r="I146" s="11">
        <f t="shared" ca="1" si="21"/>
        <v>20.3</v>
      </c>
      <c r="J146" s="11"/>
      <c r="K146" s="11">
        <v>1</v>
      </c>
      <c r="L146" s="11"/>
      <c r="M146" s="11"/>
      <c r="N146" s="11"/>
      <c r="O146" s="11"/>
      <c r="Q146" s="11"/>
      <c r="R146" s="11"/>
      <c r="S146" s="11"/>
      <c r="T146" s="11"/>
      <c r="U146" s="11"/>
      <c r="V146" s="11"/>
      <c r="X146" s="11"/>
    </row>
    <row r="147" spans="1:24" x14ac:dyDescent="0.3">
      <c r="A147" s="11">
        <f t="shared" ca="1" si="22"/>
        <v>19.716125294376258</v>
      </c>
      <c r="B147" s="11">
        <f ca="1">IF(A147="","",SMALL(A74:A173,74))</f>
        <v>66.829826929516031</v>
      </c>
      <c r="C147" s="11">
        <f>'FALL 3'!C147</f>
        <v>74</v>
      </c>
      <c r="D147" s="11">
        <f ca="1">(IF(C147=0,"",B147*0.01*(K77-K78)+K78))</f>
        <v>66.495027940809678</v>
      </c>
      <c r="E147" s="11"/>
      <c r="F147" s="11">
        <f ca="1">IF(D147="","",LN((LN(D147*0.01)/-B50))/B51)</f>
        <v>20.375416430851523</v>
      </c>
      <c r="G147" s="11">
        <f t="shared" ca="1" si="20"/>
        <v>66.495027940809678</v>
      </c>
      <c r="H147" s="50" t="str">
        <f ca="1">IF(I176=C147,I147,"")</f>
        <v/>
      </c>
      <c r="I147" s="11">
        <f t="shared" ca="1" si="21"/>
        <v>20.399999999999999</v>
      </c>
      <c r="K147" s="11"/>
      <c r="L147" s="11"/>
      <c r="M147" s="11"/>
      <c r="N147" s="11"/>
      <c r="O147" s="11"/>
      <c r="Q147" s="11"/>
      <c r="R147" s="11"/>
      <c r="S147" s="11"/>
      <c r="T147" s="11"/>
      <c r="U147" s="11"/>
      <c r="V147" s="11"/>
      <c r="X147" s="11"/>
    </row>
    <row r="148" spans="1:24" x14ac:dyDescent="0.3">
      <c r="A148" s="11">
        <f t="shared" ca="1" si="22"/>
        <v>10.885530224479504</v>
      </c>
      <c r="B148" s="11">
        <f ca="1">IF(A148="","",SMALL(A74:A173,75))</f>
        <v>67.554798364905551</v>
      </c>
      <c r="C148" s="11">
        <f>'FALL 3'!C148</f>
        <v>75</v>
      </c>
      <c r="D148" s="11">
        <f ca="1">(IF(C148=0,"",B148*0.01*(K77-K78)+K78))</f>
        <v>67.205461386722448</v>
      </c>
      <c r="E148" s="11"/>
      <c r="F148" s="11">
        <f ca="1">IF(D148="","",LN((LN(D148*0.01)/-B50))/B51)</f>
        <v>20.586493546651795</v>
      </c>
      <c r="G148" s="11">
        <f t="shared" ca="1" si="20"/>
        <v>67.205461386722448</v>
      </c>
      <c r="H148" s="50" t="str">
        <f ca="1">IF(I176=C148,I148,"")</f>
        <v/>
      </c>
      <c r="I148" s="11">
        <f t="shared" ca="1" si="21"/>
        <v>20.6</v>
      </c>
      <c r="K148" s="11"/>
      <c r="L148" s="11"/>
      <c r="M148" s="11"/>
      <c r="N148" s="11"/>
      <c r="O148" s="11"/>
      <c r="Q148" s="11"/>
      <c r="R148" s="11"/>
      <c r="S148" s="11"/>
      <c r="T148" s="11"/>
      <c r="U148" s="11"/>
      <c r="V148" s="11"/>
      <c r="X148" s="11"/>
    </row>
    <row r="149" spans="1:24" x14ac:dyDescent="0.3">
      <c r="A149" s="11">
        <f t="shared" ca="1" si="22"/>
        <v>73.350716253599742</v>
      </c>
      <c r="B149" s="11">
        <f ca="1">IF(A149="","",SMALL(A74:A173,76))</f>
        <v>69.999571086914443</v>
      </c>
      <c r="C149" s="11">
        <f>'FALL 3'!C149</f>
        <v>76</v>
      </c>
      <c r="D149" s="11">
        <f ca="1">(IF(C149=0,"",B149*0.01*(K77-K78)+K78))</f>
        <v>69.601208618386977</v>
      </c>
      <c r="E149" s="11"/>
      <c r="F149" s="11">
        <f ca="1">IF(D149="","",LN((LN(D149*0.01)/-B50))/B51)</f>
        <v>21.324481483147224</v>
      </c>
      <c r="G149" s="11">
        <f t="shared" ca="1" si="20"/>
        <v>69.601208618386977</v>
      </c>
      <c r="H149" s="50" t="str">
        <f ca="1">IF(I176=C149,I149,"")</f>
        <v/>
      </c>
      <c r="I149" s="11">
        <f t="shared" ca="1" si="21"/>
        <v>21.3</v>
      </c>
      <c r="K149" s="11"/>
      <c r="L149" s="11"/>
      <c r="M149" s="11"/>
      <c r="N149" s="11"/>
      <c r="O149" s="11"/>
      <c r="Q149" s="11"/>
      <c r="R149" s="11"/>
      <c r="S149" s="11"/>
      <c r="T149" s="11"/>
      <c r="U149" s="11"/>
      <c r="V149" s="11"/>
      <c r="X149" s="11"/>
    </row>
    <row r="150" spans="1:24" x14ac:dyDescent="0.3">
      <c r="A150" s="11">
        <f t="shared" ca="1" si="22"/>
        <v>61.739216598369225</v>
      </c>
      <c r="B150" s="11">
        <f ca="1">IF(A150="","",SMALL(A74:A173,77))</f>
        <v>70.170321861690041</v>
      </c>
      <c r="C150" s="11">
        <f>'FALL 3'!C150</f>
        <v>77</v>
      </c>
      <c r="D150" s="11">
        <f ca="1">IF(C150=0,"",(B150*0.01*(K77-K78)+K78))</f>
        <v>69.768535295542108</v>
      </c>
      <c r="E150" s="11"/>
      <c r="F150" s="11">
        <f ca="1">IF(D150="","",LN((LN(D150*0.01)/-B50))/B51)</f>
        <v>21.377655604231173</v>
      </c>
      <c r="G150" s="11">
        <f t="shared" ca="1" si="20"/>
        <v>69.768535295542108</v>
      </c>
      <c r="H150" s="50" t="str">
        <f ca="1">IF(I176=C150,I150,"")</f>
        <v/>
      </c>
      <c r="I150" s="11">
        <f t="shared" ca="1" si="21"/>
        <v>21.4</v>
      </c>
      <c r="J150" s="11"/>
      <c r="K150" s="11"/>
      <c r="L150" s="11"/>
      <c r="M150" s="11"/>
      <c r="N150" s="11"/>
      <c r="O150" s="11"/>
      <c r="Q150" s="11"/>
      <c r="R150" s="11"/>
      <c r="S150" s="11"/>
      <c r="T150" s="11"/>
      <c r="U150" s="11"/>
      <c r="V150" s="11"/>
      <c r="X150" s="11"/>
    </row>
    <row r="151" spans="1:24" x14ac:dyDescent="0.3">
      <c r="A151" s="11">
        <f t="shared" ca="1" si="22"/>
        <v>96.792694727048797</v>
      </c>
      <c r="B151" s="11">
        <f ca="1">IF(A151="","",SMALL(A74:A173,78))</f>
        <v>70.917425780520034</v>
      </c>
      <c r="C151" s="11">
        <f>'FALL 3'!C151</f>
        <v>78</v>
      </c>
      <c r="D151" s="11">
        <f ca="1">IF(C151=0,"",(B151*0.01*(K77-K78)+K78))</f>
        <v>70.500657398013828</v>
      </c>
      <c r="E151" s="11"/>
      <c r="F151" s="11">
        <f ca="1">IF(D151="","",LN((LN(D151*0.01)/-B50))/B51)</f>
        <v>21.613023526073679</v>
      </c>
      <c r="G151" s="11">
        <f t="shared" ca="1" si="20"/>
        <v>70.500657398013828</v>
      </c>
      <c r="H151" s="50" t="str">
        <f ca="1">IF(I176=C151,I151,"")</f>
        <v/>
      </c>
      <c r="I151" s="11">
        <f t="shared" ca="1" si="21"/>
        <v>21.6</v>
      </c>
      <c r="J151" s="11"/>
      <c r="K151" s="11"/>
      <c r="L151" s="11"/>
      <c r="M151" s="11"/>
      <c r="N151" s="11"/>
      <c r="O151" s="11"/>
      <c r="Q151" s="11"/>
      <c r="R151" s="11"/>
      <c r="S151" s="11"/>
      <c r="T151" s="11"/>
      <c r="U151" s="11"/>
      <c r="V151" s="11"/>
      <c r="X151" s="11"/>
    </row>
    <row r="152" spans="1:24" x14ac:dyDescent="0.3">
      <c r="A152" s="11">
        <f t="shared" ca="1" si="22"/>
        <v>75.880495810393597</v>
      </c>
      <c r="B152" s="11">
        <f ca="1">IF(A152="","",SMALL(A74:A173,79))</f>
        <v>73.350716253599742</v>
      </c>
      <c r="C152" s="11">
        <f>'FALL 3'!C152</f>
        <v>79</v>
      </c>
      <c r="D152" s="11">
        <f ca="1">IF(C152=0,"",(B152*0.01*(K77-K78)+K78))</f>
        <v>72.885152636461271</v>
      </c>
      <c r="E152" s="11"/>
      <c r="F152" s="11">
        <f ca="1">IF(D152="","",LN((LN(D152*0.01)/-B50))/B51)</f>
        <v>22.412841501163165</v>
      </c>
      <c r="G152" s="11">
        <f t="shared" ca="1" si="20"/>
        <v>72.885152636461271</v>
      </c>
      <c r="H152" s="50" t="str">
        <f ca="1">IF(I176=C152,I152,"")</f>
        <v/>
      </c>
      <c r="I152" s="11">
        <f t="shared" ca="1" si="21"/>
        <v>22.4</v>
      </c>
      <c r="J152" s="11"/>
      <c r="K152" s="11"/>
      <c r="L152" s="11"/>
      <c r="M152" s="11"/>
      <c r="N152" s="11"/>
      <c r="O152" s="11"/>
      <c r="Q152" s="11"/>
      <c r="R152" s="11"/>
      <c r="S152" s="11"/>
      <c r="T152" s="11"/>
      <c r="U152" s="11"/>
      <c r="V152" s="11"/>
      <c r="X152" s="11"/>
    </row>
    <row r="153" spans="1:24" x14ac:dyDescent="0.3">
      <c r="A153" s="11">
        <f t="shared" ca="1" si="22"/>
        <v>89.472758160042972</v>
      </c>
      <c r="B153" s="11">
        <f ca="1">IF(A153="","",SMALL(A74:A173,80))</f>
        <v>75.343875189459823</v>
      </c>
      <c r="C153" s="11">
        <f>'FALL 3'!C153</f>
        <v>80</v>
      </c>
      <c r="D153" s="11">
        <f ca="1">(IF(C153=0,"",B153*0.01*(K77-K78)+K78))</f>
        <v>74.838342378749672</v>
      </c>
      <c r="E153" s="11"/>
      <c r="F153" s="11">
        <f ca="1">IF(D153="","",LN((LN(D153*0.01)/-B50))/B51)</f>
        <v>23.11123220512663</v>
      </c>
      <c r="G153" s="11">
        <f t="shared" ca="1" si="20"/>
        <v>74.838342378749672</v>
      </c>
      <c r="H153" s="50" t="str">
        <f ca="1">IF(I176=C153,I153,"")</f>
        <v/>
      </c>
      <c r="I153" s="11">
        <f t="shared" ca="1" si="21"/>
        <v>23.1</v>
      </c>
      <c r="J153" s="11"/>
      <c r="K153" s="11"/>
      <c r="L153" s="11"/>
      <c r="M153" s="11"/>
      <c r="N153" s="11"/>
      <c r="O153" s="11"/>
      <c r="Q153" s="11"/>
      <c r="R153" s="11"/>
      <c r="S153" s="11"/>
      <c r="T153" s="11"/>
      <c r="U153" s="11"/>
      <c r="V153" s="11"/>
      <c r="X153" s="11"/>
    </row>
    <row r="154" spans="1:24" x14ac:dyDescent="0.3">
      <c r="A154" s="11">
        <f t="shared" ca="1" si="22"/>
        <v>30.392788314351847</v>
      </c>
      <c r="B154" s="11">
        <f ca="1">IF(A154="","",SMALL(A74:A173,81))</f>
        <v>75.433313687716009</v>
      </c>
      <c r="C154" s="11">
        <f>'FALL 3'!C154</f>
        <v>81</v>
      </c>
      <c r="D154" s="11">
        <f ca="1">(IF(C154=0,"",B154*0.01*(K77-K78)+K78))</f>
        <v>74.925987349863959</v>
      </c>
      <c r="E154" s="11"/>
      <c r="F154" s="11">
        <f ca="1">IF(D154="","",LN((LN(D154*0.01)/-B50))/B51)</f>
        <v>23.143597061942032</v>
      </c>
      <c r="G154" s="11">
        <f t="shared" ca="1" si="20"/>
        <v>74.925987349863959</v>
      </c>
      <c r="H154" s="50" t="str">
        <f ca="1">IF(I176=C154,I154,"")</f>
        <v/>
      </c>
      <c r="I154" s="11">
        <f t="shared" ca="1" si="21"/>
        <v>23.1</v>
      </c>
      <c r="J154" s="11"/>
      <c r="K154" s="11"/>
      <c r="L154" s="11"/>
      <c r="M154" s="11"/>
      <c r="N154" s="11"/>
      <c r="O154" s="11"/>
      <c r="Q154" s="11"/>
      <c r="R154" s="11"/>
      <c r="S154" s="11"/>
      <c r="T154" s="11"/>
      <c r="U154" s="11"/>
      <c r="V154" s="11"/>
      <c r="X154" s="11"/>
    </row>
    <row r="155" spans="1:24" x14ac:dyDescent="0.3">
      <c r="A155" s="11">
        <f t="shared" ca="1" si="22"/>
        <v>9.2836085325027931</v>
      </c>
      <c r="B155" s="11">
        <f ca="1">IF(A155="","",SMALL(A74:A173,82))</f>
        <v>75.576022612968487</v>
      </c>
      <c r="C155" s="11">
        <f>'FALL 3'!C155</f>
        <v>82</v>
      </c>
      <c r="D155" s="11">
        <f ca="1">(IF(C155=0,"",B155*0.01*(K77-K78)+K78))</f>
        <v>75.065834506014539</v>
      </c>
      <c r="E155" s="11"/>
      <c r="F155" s="11">
        <f ca="1">IF(D155="","",LN((LN(D155*0.01)/-B50))/B51)</f>
        <v>23.195432488598076</v>
      </c>
      <c r="G155" s="11">
        <f t="shared" ca="1" si="20"/>
        <v>75.065834506014539</v>
      </c>
      <c r="H155" s="50" t="str">
        <f ca="1">IF(I176=C155,I155,"")</f>
        <v/>
      </c>
      <c r="I155" s="11">
        <f t="shared" ca="1" si="21"/>
        <v>23.2</v>
      </c>
      <c r="J155" s="11"/>
      <c r="K155" s="11"/>
      <c r="L155" s="11"/>
      <c r="M155" s="11"/>
      <c r="N155" s="11"/>
      <c r="O155" s="11"/>
      <c r="Q155" s="11"/>
      <c r="R155" s="11"/>
      <c r="S155" s="11"/>
      <c r="T155" s="11"/>
      <c r="U155" s="11"/>
      <c r="V155" s="11"/>
      <c r="X155" s="11"/>
    </row>
    <row r="156" spans="1:24" x14ac:dyDescent="0.3">
      <c r="A156" s="11">
        <f t="shared" ca="1" si="22"/>
        <v>50.172602681297342</v>
      </c>
      <c r="B156" s="11">
        <f ca="1">IF(A156="","",SMALL(A74:A173,83))</f>
        <v>75.835971144184526</v>
      </c>
      <c r="C156" s="11">
        <f>'FALL 3'!C156</f>
        <v>83</v>
      </c>
      <c r="D156" s="11">
        <f ca="1">IF(C156=0,"",(B156*0.01*(K77-K78)+K78))</f>
        <v>75.320570240109447</v>
      </c>
      <c r="E156" s="11"/>
      <c r="F156" s="11">
        <f ca="1">IF(D156="","",LN((LN(D156*0.01)/-B50))/B51)</f>
        <v>23.290472810497789</v>
      </c>
      <c r="G156" s="11">
        <f t="shared" ca="1" si="20"/>
        <v>75.320570240109447</v>
      </c>
      <c r="H156" s="50" t="str">
        <f ca="1">IF(I176=C156,I156,"")</f>
        <v/>
      </c>
      <c r="I156" s="11">
        <f t="shared" ca="1" si="21"/>
        <v>23.3</v>
      </c>
      <c r="J156" s="11"/>
      <c r="K156" s="11"/>
      <c r="L156" s="11"/>
      <c r="M156" s="11"/>
      <c r="N156" s="11"/>
      <c r="O156" s="11"/>
      <c r="Q156" s="11"/>
      <c r="R156" s="11"/>
      <c r="S156" s="11"/>
      <c r="T156" s="11"/>
      <c r="U156" s="11"/>
      <c r="V156" s="11"/>
      <c r="X156" s="11"/>
    </row>
    <row r="157" spans="1:24" x14ac:dyDescent="0.3">
      <c r="A157" s="11">
        <f t="shared" ca="1" si="22"/>
        <v>66.653251272831909</v>
      </c>
      <c r="B157" s="11">
        <f ca="1">IF(A157="","",SMALL(A74:A173,84))</f>
        <v>75.880495810393597</v>
      </c>
      <c r="C157" s="11">
        <f>'FALL 3'!C157</f>
        <v>84</v>
      </c>
      <c r="D157" s="11">
        <f ca="1">(IF(C157=0,"",B157*0.01*(K77-K78)+K78))</f>
        <v>75.364202044755672</v>
      </c>
      <c r="E157" s="11"/>
      <c r="F157" s="11">
        <f ca="1">IF(D157="","",LN((LN(D157*0.01)/-B50))/B51)</f>
        <v>23.306832945049315</v>
      </c>
      <c r="G157" s="11">
        <f t="shared" ca="1" si="20"/>
        <v>75.364202044755672</v>
      </c>
      <c r="H157" s="50" t="str">
        <f ca="1">IF(I176=C157,I157,"")</f>
        <v/>
      </c>
      <c r="I157" s="11">
        <f t="shared" ca="1" si="21"/>
        <v>23.3</v>
      </c>
      <c r="J157" s="11"/>
      <c r="K157" s="11"/>
      <c r="L157" s="11"/>
      <c r="M157" s="11"/>
      <c r="N157" s="11"/>
      <c r="O157" s="11"/>
      <c r="Q157" s="11"/>
      <c r="R157" s="11"/>
      <c r="S157" s="11"/>
      <c r="T157" s="11"/>
      <c r="U157" s="11"/>
      <c r="V157" s="11"/>
      <c r="X157" s="11"/>
    </row>
    <row r="158" spans="1:24" x14ac:dyDescent="0.3">
      <c r="A158" s="11">
        <f t="shared" ca="1" si="22"/>
        <v>82.127885467203029</v>
      </c>
      <c r="B158" s="11">
        <f ca="1">IF(A158="","",SMALL(A74:A173,85))</f>
        <v>77.294214300749587</v>
      </c>
      <c r="C158" s="11">
        <f>'FALL 3'!C158</f>
        <v>85</v>
      </c>
      <c r="D158" s="11">
        <f ca="1">IF(C158=0,"",(B158*0.01*(K77-K78)+K78))</f>
        <v>76.749570970518363</v>
      </c>
      <c r="E158" s="11"/>
      <c r="F158" s="11">
        <f ca="1">IF(D158="","",LN((LN(D158*0.01)/-B50))/B51)</f>
        <v>23.839286137138721</v>
      </c>
      <c r="G158" s="11">
        <f t="shared" ca="1" si="20"/>
        <v>76.749570970518363</v>
      </c>
      <c r="H158" s="50" t="str">
        <f ca="1">IF(I176=C158,I158,"")</f>
        <v/>
      </c>
      <c r="I158" s="11">
        <f t="shared" ca="1" si="21"/>
        <v>23.8</v>
      </c>
      <c r="J158" s="11"/>
      <c r="K158" s="11"/>
      <c r="L158" s="11"/>
      <c r="M158" s="11"/>
      <c r="N158" s="11"/>
      <c r="O158" s="11"/>
      <c r="Q158" s="11"/>
      <c r="R158" s="11"/>
      <c r="S158" s="11"/>
      <c r="T158" s="11"/>
      <c r="U158" s="11"/>
      <c r="V158" s="11"/>
      <c r="X158" s="11"/>
    </row>
    <row r="159" spans="1:24" x14ac:dyDescent="0.3">
      <c r="A159" s="11">
        <f t="shared" ca="1" si="22"/>
        <v>92.069005416099401</v>
      </c>
      <c r="B159" s="11">
        <f ca="1">IF(A159="","",SMALL(A74:A173,86))</f>
        <v>78.113730407507262</v>
      </c>
      <c r="C159" s="11">
        <f>'FALL 3'!C159</f>
        <v>86</v>
      </c>
      <c r="D159" s="11">
        <f ca="1">IF(C159=0,"",(B159*0.01*(K77-K78)+K78))</f>
        <v>77.552653165601043</v>
      </c>
      <c r="E159" s="11"/>
      <c r="F159" s="11">
        <f ca="1">IF(D159="","",LN((LN(D159*0.01)/-B50))/B51)</f>
        <v>24.160271386474463</v>
      </c>
      <c r="G159" s="11">
        <f t="shared" ca="1" si="20"/>
        <v>77.552653165601043</v>
      </c>
      <c r="H159" s="50" t="str">
        <f ca="1">IF(I176=C159,I159,"")</f>
        <v/>
      </c>
      <c r="I159" s="11">
        <f t="shared" ca="1" si="21"/>
        <v>24.2</v>
      </c>
      <c r="J159" s="11"/>
      <c r="K159" s="11"/>
      <c r="L159" s="11"/>
      <c r="M159" s="11"/>
      <c r="N159" s="11"/>
      <c r="O159" s="11"/>
      <c r="Q159" s="11"/>
      <c r="R159" s="11"/>
      <c r="S159" s="11"/>
      <c r="T159" s="11"/>
      <c r="U159" s="11"/>
      <c r="V159" s="11"/>
      <c r="X159" s="11"/>
    </row>
    <row r="160" spans="1:24" x14ac:dyDescent="0.3">
      <c r="A160" s="11">
        <f t="shared" ca="1" si="22"/>
        <v>3.6249997631134772</v>
      </c>
      <c r="B160" s="11">
        <f ca="1">IF(A160="","",SMALL(A74:A173,87))</f>
        <v>79.584477650595773</v>
      </c>
      <c r="C160" s="11">
        <f>'FALL 3'!C160</f>
        <v>87</v>
      </c>
      <c r="D160" s="11">
        <f ca="1">IF(C160=0,"",(B160*0.01*(K77-K78)+K78))</f>
        <v>78.993907235718552</v>
      </c>
      <c r="E160" s="11"/>
      <c r="F160" s="11">
        <f ca="1">IF(D160="","",LN((LN(D160*0.01)/-B50))/B51)</f>
        <v>24.761682377144737</v>
      </c>
      <c r="G160" s="11">
        <f t="shared" ca="1" si="20"/>
        <v>78.993907235718552</v>
      </c>
      <c r="H160" s="50" t="str">
        <f ca="1">IF(I176=C160,I160,"")</f>
        <v/>
      </c>
      <c r="I160" s="11">
        <f t="shared" ca="1" si="21"/>
        <v>24.8</v>
      </c>
      <c r="J160" s="11"/>
      <c r="K160" s="11"/>
      <c r="L160" s="11"/>
      <c r="M160" s="11"/>
      <c r="N160" s="11"/>
      <c r="O160" s="11"/>
      <c r="Q160" s="11"/>
      <c r="R160" s="11"/>
      <c r="S160" s="11"/>
      <c r="T160" s="11"/>
      <c r="U160" s="11"/>
      <c r="V160" s="11"/>
      <c r="X160" s="11"/>
    </row>
    <row r="161" spans="1:24" x14ac:dyDescent="0.3">
      <c r="A161" s="11">
        <f t="shared" ca="1" si="22"/>
        <v>20.477118628301223</v>
      </c>
      <c r="B161" s="11">
        <f ca="1">IF(A161="","",SMALL(A74:A173,88))</f>
        <v>82.127885467203029</v>
      </c>
      <c r="C161" s="11">
        <f>'FALL 3'!C161</f>
        <v>88</v>
      </c>
      <c r="D161" s="49">
        <f ca="1">(IF(C161=0,"",B161*0.01*(K77-K78)+K78))</f>
        <v>81.486311613751639</v>
      </c>
      <c r="E161" s="11"/>
      <c r="F161" s="11">
        <f ca="1">IF(D161="","",LN((LN(D161*0.01)/-B50))/B51)</f>
        <v>25.891577164283401</v>
      </c>
      <c r="G161" s="11">
        <f t="shared" ca="1" si="20"/>
        <v>81.486311613751639</v>
      </c>
      <c r="H161" s="50" t="str">
        <f ca="1">IF(I176=C161,I161,"")</f>
        <v/>
      </c>
      <c r="I161" s="11">
        <f t="shared" ca="1" si="21"/>
        <v>25.9</v>
      </c>
      <c r="J161" s="11"/>
      <c r="K161" s="11"/>
      <c r="L161" s="11"/>
      <c r="M161" s="11"/>
      <c r="N161" s="11"/>
      <c r="O161" s="11"/>
      <c r="Q161" s="11"/>
      <c r="R161" s="11"/>
      <c r="S161" s="11"/>
      <c r="T161" s="11"/>
      <c r="U161" s="11"/>
      <c r="V161" s="11"/>
      <c r="X161" s="11"/>
    </row>
    <row r="162" spans="1:24" x14ac:dyDescent="0.3">
      <c r="A162" s="11">
        <f t="shared" ca="1" si="22"/>
        <v>30.123378148520377</v>
      </c>
      <c r="B162" s="11">
        <f ca="1">IF(A162="","",SMALL(A74:A173,89))</f>
        <v>82.170865037115789</v>
      </c>
      <c r="C162" s="11">
        <f>'FALL 3'!C162</f>
        <v>89</v>
      </c>
      <c r="D162" s="11">
        <f ca="1">(IF(C162=0,"",B162*0.01*(K77-K78)+K78))</f>
        <v>81.528429306210171</v>
      </c>
      <c r="E162" s="11"/>
      <c r="F162" s="11">
        <f ca="1">IF(D162="","",LN((LN(D162*0.01)/-B50))/B51)</f>
        <v>25.911790067108946</v>
      </c>
      <c r="G162" s="11">
        <f t="shared" ca="1" si="20"/>
        <v>81.528429306210171</v>
      </c>
      <c r="H162" s="50" t="str">
        <f ca="1">IF(I176=C162,I162,"")</f>
        <v/>
      </c>
      <c r="I162" s="11">
        <f t="shared" ca="1" si="21"/>
        <v>25.9</v>
      </c>
      <c r="J162" s="11"/>
      <c r="K162" s="11"/>
      <c r="L162" s="11"/>
      <c r="M162" s="11"/>
      <c r="N162" s="11"/>
      <c r="O162" s="11"/>
      <c r="Q162" s="11"/>
      <c r="R162" s="11"/>
      <c r="S162" s="11"/>
      <c r="T162" s="11"/>
      <c r="U162" s="11"/>
      <c r="V162" s="11"/>
      <c r="X162" s="11"/>
    </row>
    <row r="163" spans="1:24" x14ac:dyDescent="0.3">
      <c r="A163" s="11">
        <f t="shared" ca="1" si="22"/>
        <v>98.068589609092214</v>
      </c>
      <c r="B163" s="11">
        <f ca="1">IF(A163="","",SMALL(A74:A173,90))</f>
        <v>82.652071906329411</v>
      </c>
      <c r="C163" s="11">
        <f>'FALL 3'!C163</f>
        <v>90</v>
      </c>
      <c r="D163" s="11">
        <f ca="1">IF(C163=0,"",(B163*0.01*(K77-K78)+K78))</f>
        <v>81.999986442952604</v>
      </c>
      <c r="E163" s="11"/>
      <c r="F163" s="11">
        <f ca="1">IF(D163="","",LN((LN(D163*0.01)/-B50))/B51)</f>
        <v>26.140923245593768</v>
      </c>
      <c r="G163" s="11">
        <f t="shared" ca="1" si="20"/>
        <v>81.999986442952604</v>
      </c>
      <c r="H163" s="50" t="str">
        <f ca="1">IF(I176=C163,I163,"")</f>
        <v/>
      </c>
      <c r="I163" s="11">
        <f t="shared" ca="1" si="21"/>
        <v>26.1</v>
      </c>
      <c r="J163" s="11"/>
      <c r="K163" s="11"/>
      <c r="L163" s="11"/>
      <c r="M163" s="11"/>
      <c r="N163" s="11"/>
      <c r="O163" s="11"/>
      <c r="Q163" s="11"/>
      <c r="R163" s="11"/>
      <c r="S163" s="11"/>
      <c r="T163" s="11"/>
      <c r="U163" s="11"/>
      <c r="V163" s="11"/>
      <c r="X163" s="11"/>
    </row>
    <row r="164" spans="1:24" x14ac:dyDescent="0.3">
      <c r="A164" s="11">
        <f t="shared" ca="1" si="22"/>
        <v>26.935136806361843</v>
      </c>
      <c r="B164" s="11">
        <f ca="1">IF(A164="","",SMALL(A74:A173,91))</f>
        <v>82.996098998149179</v>
      </c>
      <c r="C164" s="11">
        <f>'FALL 3'!C164</f>
        <v>91</v>
      </c>
      <c r="D164" s="11">
        <f ca="1">IF(C164=0,"",(B164*0.01*(K77-K78)+K78))</f>
        <v>82.337114694354057</v>
      </c>
      <c r="E164" s="11"/>
      <c r="F164" s="11">
        <f ca="1">IF(D164="","",LN((LN(D164*0.01)/-B50))/B51)</f>
        <v>26.308020737853116</v>
      </c>
      <c r="G164" s="11">
        <f t="shared" ca="1" si="20"/>
        <v>82.337114694354057</v>
      </c>
      <c r="H164" s="50" t="str">
        <f ca="1">IF(I176=C164,I164,"")</f>
        <v/>
      </c>
      <c r="I164" s="11">
        <f t="shared" ca="1" si="21"/>
        <v>26.3</v>
      </c>
      <c r="J164" s="11"/>
      <c r="K164" s="11"/>
      <c r="L164" s="11"/>
      <c r="M164" s="11"/>
      <c r="N164" s="11"/>
      <c r="O164" s="11"/>
      <c r="Q164" s="11"/>
      <c r="R164" s="11"/>
      <c r="S164" s="11"/>
      <c r="T164" s="11"/>
      <c r="U164" s="11"/>
      <c r="V164" s="11"/>
      <c r="X164" s="11"/>
    </row>
    <row r="165" spans="1:24" x14ac:dyDescent="0.3">
      <c r="A165" s="11">
        <f t="shared" ca="1" si="22"/>
        <v>4.3786339455653129</v>
      </c>
      <c r="B165" s="11">
        <f ca="1">IF(A165="","",SMALL(A74:A173,92))</f>
        <v>88.960234235886745</v>
      </c>
      <c r="C165" s="11">
        <f>'FALL 3'!C165</f>
        <v>92</v>
      </c>
      <c r="D165" s="11">
        <f ca="1">(IF(C165=0,"",B165*0.01*(K77-K78)+K78))</f>
        <v>88.181649998781722</v>
      </c>
      <c r="E165" s="11"/>
      <c r="F165" s="11">
        <f ca="1">IF(D165="","",LN((LN(D165*0.01)/-B50))/B51)</f>
        <v>29.78882793681808</v>
      </c>
      <c r="G165" s="11">
        <f t="shared" ca="1" si="20"/>
        <v>88.181649998781722</v>
      </c>
      <c r="H165" s="50" t="str">
        <f ca="1">IF(I176=C165,I165,"")</f>
        <v/>
      </c>
      <c r="I165" s="11">
        <f t="shared" ca="1" si="21"/>
        <v>29.8</v>
      </c>
      <c r="J165" s="11"/>
      <c r="K165" s="11"/>
      <c r="L165" s="11"/>
      <c r="M165" s="11"/>
      <c r="N165" s="11"/>
      <c r="O165" s="11"/>
      <c r="Q165" s="11"/>
      <c r="R165" s="11"/>
      <c r="S165" s="11"/>
      <c r="T165" s="11"/>
      <c r="U165" s="11"/>
      <c r="V165" s="11"/>
      <c r="X165" s="11"/>
    </row>
    <row r="166" spans="1:24" x14ac:dyDescent="0.3">
      <c r="A166" s="11">
        <f t="shared" ca="1" si="22"/>
        <v>79.584477650595773</v>
      </c>
      <c r="B166" s="11">
        <f ca="1">IF(A166="","",SMALL(A74:A173,93))</f>
        <v>89.472758160042972</v>
      </c>
      <c r="C166" s="11">
        <f>'FALL 3'!C166</f>
        <v>93</v>
      </c>
      <c r="D166" s="11">
        <f ca="1">(IF(C166=0,"",B166*0.01*(K77-K78)+K78))</f>
        <v>88.683896183633692</v>
      </c>
      <c r="E166" s="11"/>
      <c r="F166" s="11">
        <f ca="1">IF(D166="","",LN((LN(D166*0.01)/-B50))/B51)</f>
        <v>30.158420396553311</v>
      </c>
      <c r="G166" s="11">
        <f t="shared" ca="1" si="20"/>
        <v>88.683896183633692</v>
      </c>
      <c r="H166" s="50" t="str">
        <f ca="1">IF(I176=C166,I166,"")</f>
        <v/>
      </c>
      <c r="I166" s="11">
        <f t="shared" ca="1" si="21"/>
        <v>30.2</v>
      </c>
      <c r="J166" s="11"/>
      <c r="K166" s="11"/>
      <c r="L166" s="11"/>
      <c r="M166" s="11"/>
      <c r="N166" s="11"/>
      <c r="O166" s="11"/>
      <c r="Q166" s="11"/>
      <c r="R166" s="11"/>
      <c r="S166" s="11"/>
      <c r="T166" s="11"/>
      <c r="U166" s="11"/>
      <c r="V166" s="11"/>
      <c r="X166" s="11"/>
    </row>
    <row r="167" spans="1:24" x14ac:dyDescent="0.3">
      <c r="A167" s="11">
        <f t="shared" ca="1" si="22"/>
        <v>45.645021212545792</v>
      </c>
      <c r="B167" s="11">
        <f ca="1">IF(A167="","",SMALL(A74:A173,94))</f>
        <v>91.754603360121138</v>
      </c>
      <c r="C167" s="11">
        <f>'FALL 3'!C167</f>
        <v>94</v>
      </c>
      <c r="D167" s="11">
        <f ca="1">(IF(C167=0,"",B167*0.01*(K77-K78)+K78))</f>
        <v>90.919983109817252</v>
      </c>
      <c r="E167" s="11"/>
      <c r="F167" s="11">
        <f ca="1">IF(D167="","",LN((LN(D167*0.01)/-B50))/B51)</f>
        <v>32.017081072497881</v>
      </c>
      <c r="G167" s="11">
        <f t="shared" ca="1" si="20"/>
        <v>90.919983109817252</v>
      </c>
      <c r="H167" s="50" t="str">
        <f ca="1">IF(I176=C167,I167,"")</f>
        <v/>
      </c>
      <c r="I167" s="11">
        <f t="shared" ca="1" si="21"/>
        <v>32</v>
      </c>
      <c r="J167" s="11"/>
      <c r="K167" s="11"/>
      <c r="L167" s="11"/>
      <c r="M167" s="11"/>
      <c r="N167" s="11"/>
      <c r="O167" s="11"/>
      <c r="Q167" s="11"/>
      <c r="R167" s="11"/>
      <c r="S167" s="11"/>
      <c r="T167" s="11"/>
      <c r="U167" s="11"/>
      <c r="V167" s="11"/>
      <c r="X167" s="11"/>
    </row>
    <row r="168" spans="1:24" x14ac:dyDescent="0.3">
      <c r="A168" s="11">
        <f t="shared" ca="1" si="22"/>
        <v>45.096774778301601</v>
      </c>
      <c r="B168" s="11">
        <f ca="1">IF(A168="","",SMALL(A74:A173,95))</f>
        <v>92.069005416099401</v>
      </c>
      <c r="C168" s="11">
        <f>'FALL 3'!C168</f>
        <v>95</v>
      </c>
      <c r="D168" s="11">
        <f ca="1">IF(C168=0,"",(B168*0.01*(K77-K78)+K78))</f>
        <v>91.228080401830823</v>
      </c>
      <c r="E168" s="11"/>
      <c r="F168" s="11">
        <f ca="1">IF(D168="","",LN((LN(D168*0.01)/-B50))/B51)</f>
        <v>32.306508260879724</v>
      </c>
      <c r="G168" s="11">
        <f t="shared" ca="1" si="20"/>
        <v>91.228080401830823</v>
      </c>
      <c r="H168" s="50" t="str">
        <f ca="1">IF(I176=C168,I168,"")</f>
        <v/>
      </c>
      <c r="I168" s="11">
        <f t="shared" ca="1" si="21"/>
        <v>32.299999999999997</v>
      </c>
      <c r="J168" s="11"/>
      <c r="K168" s="11"/>
      <c r="L168" s="11"/>
      <c r="M168" s="11"/>
      <c r="N168" s="11"/>
      <c r="O168" s="11"/>
      <c r="Q168" s="11"/>
      <c r="R168" s="11"/>
      <c r="S168" s="11"/>
      <c r="T168" s="11"/>
      <c r="U168" s="11"/>
      <c r="V168" s="11"/>
      <c r="X168" s="11"/>
    </row>
    <row r="169" spans="1:24" x14ac:dyDescent="0.3">
      <c r="A169" s="11">
        <f t="shared" ca="1" si="22"/>
        <v>70.917425780520034</v>
      </c>
      <c r="B169" s="11">
        <f ca="1">IF(A169="","",SMALL(A74:A173,96))</f>
        <v>93.945212033707335</v>
      </c>
      <c r="C169" s="11">
        <f>'FALL 3'!C169</f>
        <v>96</v>
      </c>
      <c r="D169" s="11">
        <f ca="1">IF(C169=0,"",(B169*0.01*(K77-K78)+K78))</f>
        <v>93.066663092851456</v>
      </c>
      <c r="E169" s="11"/>
      <c r="F169" s="11">
        <f ca="1">IF(D169="","",LN((LN(D169*0.01)/-B50))/B51)</f>
        <v>34.266563839094523</v>
      </c>
      <c r="G169" s="11">
        <f t="shared" ca="1" si="20"/>
        <v>93.066663092851456</v>
      </c>
      <c r="H169" s="50" t="str">
        <f ca="1">IF(I176=C169,I169,"")</f>
        <v/>
      </c>
      <c r="I169" s="11">
        <f t="shared" ca="1" si="21"/>
        <v>34.299999999999997</v>
      </c>
      <c r="J169" s="11"/>
      <c r="K169" s="11"/>
      <c r="L169" s="11"/>
      <c r="M169" s="11"/>
      <c r="N169" s="11"/>
      <c r="O169" s="11"/>
      <c r="Q169" s="11"/>
      <c r="R169" s="11"/>
      <c r="S169" s="11"/>
      <c r="T169" s="11"/>
      <c r="U169" s="11"/>
      <c r="V169" s="11"/>
      <c r="X169" s="11"/>
    </row>
    <row r="170" spans="1:24" x14ac:dyDescent="0.3">
      <c r="A170" s="11">
        <f t="shared" ca="1" si="22"/>
        <v>91.754603360121138</v>
      </c>
      <c r="B170" s="11">
        <f ca="1">IF(A170="","",SMALL(A74:A173,97))</f>
        <v>95.286660752850921</v>
      </c>
      <c r="C170" s="11">
        <f>'FALL 3'!C170</f>
        <v>97</v>
      </c>
      <c r="D170" s="11">
        <f ca="1">IF(C170=0,"",(B170*0.01*(K77-K78)+K78))</f>
        <v>94.381211486809065</v>
      </c>
      <c r="E170" s="11"/>
      <c r="F170" s="11">
        <f ca="1">IF(D170="","",LN((LN(D170*0.01)/-B50))/B51)</f>
        <v>36.003521602060431</v>
      </c>
      <c r="G170" s="11">
        <f t="shared" ca="1" si="20"/>
        <v>94.381211486809065</v>
      </c>
      <c r="H170" s="50" t="str">
        <f ca="1">IF(I176=C170,I170,"")</f>
        <v/>
      </c>
      <c r="I170" s="11">
        <f t="shared" ca="1" si="21"/>
        <v>36</v>
      </c>
      <c r="J170" s="11"/>
      <c r="K170" s="11"/>
      <c r="L170" s="11"/>
      <c r="M170" s="11"/>
      <c r="N170" s="11"/>
      <c r="O170" s="11"/>
      <c r="Q170" s="11"/>
      <c r="R170" s="11"/>
      <c r="S170" s="11"/>
      <c r="T170" s="11"/>
      <c r="U170" s="11"/>
      <c r="V170" s="11"/>
      <c r="X170" s="11"/>
    </row>
    <row r="171" spans="1:24" x14ac:dyDescent="0.3">
      <c r="A171" s="11">
        <f t="shared" ca="1" si="22"/>
        <v>70.170321861690041</v>
      </c>
      <c r="B171" s="11">
        <f ca="1">IF(A171="","",SMALL(A74:A173,98))</f>
        <v>96.792694727048797</v>
      </c>
      <c r="C171" s="11">
        <f>'FALL 3'!C171</f>
        <v>98</v>
      </c>
      <c r="D171" s="11">
        <f ca="1">(IF(C171=0,"",B171*0.01*(K77-K78)+K78))</f>
        <v>95.857044676534997</v>
      </c>
      <c r="E171" s="11"/>
      <c r="F171" s="11">
        <f ca="1">IF(D171="","",LN((LN(D171*0.01)/-B50))/B51)</f>
        <v>38.502230461884594</v>
      </c>
      <c r="G171" s="11">
        <f t="shared" ca="1" si="20"/>
        <v>95.857044676534997</v>
      </c>
      <c r="H171" s="50" t="str">
        <f ca="1">IF(I176=C171,I171,"")</f>
        <v/>
      </c>
      <c r="I171" s="11">
        <f t="shared" ca="1" si="21"/>
        <v>38.5</v>
      </c>
      <c r="J171" s="11"/>
      <c r="K171" s="11"/>
      <c r="L171" s="11"/>
      <c r="M171" s="11"/>
      <c r="N171" s="11"/>
      <c r="O171" s="11"/>
      <c r="Q171" s="11"/>
      <c r="R171" s="11"/>
      <c r="S171" s="11"/>
      <c r="T171" s="11"/>
      <c r="U171" s="11"/>
      <c r="V171" s="11"/>
      <c r="X171" s="11"/>
    </row>
    <row r="172" spans="1:24" x14ac:dyDescent="0.3">
      <c r="A172" s="11">
        <f t="shared" ca="1" si="22"/>
        <v>3.6181460197162254</v>
      </c>
      <c r="B172" s="11">
        <f ca="1">IF(A172="","",SMALL(A74:A173,99))</f>
        <v>98.068589609092214</v>
      </c>
      <c r="C172" s="11">
        <f>'FALL 3'!C172</f>
        <v>99</v>
      </c>
      <c r="D172" s="11">
        <f ca="1">IF(C172=0,"",(B172*0.01*(K77-K78)+K78))</f>
        <v>97.107353796901293</v>
      </c>
      <c r="E172" s="11"/>
      <c r="F172" s="11">
        <f ca="1">IF(D172="","",LN((LN(D172*0.01)/-B50))/B51)</f>
        <v>41.427084488208692</v>
      </c>
      <c r="G172" s="11">
        <f t="shared" ca="1" si="20"/>
        <v>97.107353796901293</v>
      </c>
      <c r="H172" s="50" t="str">
        <f ca="1">IF(I176=C172,I172,"")</f>
        <v/>
      </c>
      <c r="I172" s="11">
        <f t="shared" ca="1" si="21"/>
        <v>41.4</v>
      </c>
      <c r="J172" s="11"/>
      <c r="K172" s="11"/>
      <c r="L172" s="11"/>
      <c r="M172" s="11"/>
      <c r="N172" s="11"/>
      <c r="O172" s="11"/>
      <c r="Q172" s="11"/>
      <c r="R172" s="11"/>
      <c r="S172" s="11"/>
      <c r="T172" s="11"/>
      <c r="U172" s="11"/>
      <c r="V172" s="11"/>
      <c r="X172" s="11"/>
    </row>
    <row r="173" spans="1:24" x14ac:dyDescent="0.3">
      <c r="A173" s="11">
        <f t="shared" ca="1" si="22"/>
        <v>61.705597331283826</v>
      </c>
      <c r="B173" s="11">
        <f ca="1">IF(A173="","",SMALL(A74:A173,100))</f>
        <v>98.808316937464056</v>
      </c>
      <c r="C173" s="11">
        <f>'FALL 3'!C173</f>
        <v>100</v>
      </c>
      <c r="D173" s="11">
        <f ca="1">IF(C173=0,"",(B173*0.01*(K77-K78)+K78))</f>
        <v>97.832247233080182</v>
      </c>
      <c r="E173" s="11"/>
      <c r="F173" s="11">
        <f ca="1">IF(D173="","",LN((LN(D173*0.01)/-B50))/B51)</f>
        <v>43.764092627390568</v>
      </c>
      <c r="G173" s="11">
        <f t="shared" ca="1" si="20"/>
        <v>97.832247233080182</v>
      </c>
      <c r="H173" s="50" t="str">
        <f ca="1">IF(I176=C173,I173,"")</f>
        <v/>
      </c>
      <c r="I173" s="11">
        <f t="shared" ca="1" si="21"/>
        <v>43.8</v>
      </c>
      <c r="J173" s="11"/>
      <c r="K173" s="11"/>
      <c r="L173" s="11"/>
      <c r="M173" s="11"/>
      <c r="N173" s="11"/>
      <c r="O173" s="11"/>
      <c r="Q173" s="11"/>
      <c r="R173" s="11"/>
      <c r="S173" s="11"/>
      <c r="T173" s="11"/>
      <c r="U173" s="11"/>
      <c r="V173" s="11"/>
      <c r="X173" s="11"/>
    </row>
    <row r="174" spans="1:24" x14ac:dyDescent="0.3">
      <c r="C174" s="45"/>
      <c r="D174" s="11"/>
      <c r="G174" s="11"/>
      <c r="H174" s="11"/>
      <c r="I174" s="11"/>
      <c r="J174" s="11"/>
      <c r="K174" s="11"/>
      <c r="L174" s="11"/>
      <c r="M174" s="11"/>
      <c r="N174" s="11"/>
      <c r="O174" s="11"/>
      <c r="Q174" s="11"/>
      <c r="R174" s="11"/>
      <c r="S174" s="11"/>
      <c r="T174" s="11"/>
      <c r="U174" s="11"/>
      <c r="V174" s="11"/>
      <c r="X174" s="11"/>
    </row>
    <row r="175" spans="1:24" x14ac:dyDescent="0.3">
      <c r="A175" s="11"/>
      <c r="B175" s="11"/>
      <c r="C175" s="45"/>
      <c r="D175" s="11"/>
      <c r="E175" s="11"/>
      <c r="G175" s="11"/>
      <c r="H175" s="11"/>
      <c r="I175" s="11"/>
      <c r="J175" s="11"/>
      <c r="K175" s="13"/>
      <c r="L175" s="13"/>
      <c r="M175" s="11"/>
      <c r="N175" s="11"/>
      <c r="O175" s="11"/>
      <c r="Q175" s="11"/>
      <c r="R175" s="11"/>
      <c r="S175" s="11"/>
      <c r="T175" s="11"/>
      <c r="U175" s="11"/>
      <c r="V175" s="11"/>
      <c r="W175" s="11"/>
    </row>
    <row r="176" spans="1:24" x14ac:dyDescent="0.3">
      <c r="A176" s="11"/>
      <c r="B176" s="11"/>
      <c r="C176" s="46"/>
      <c r="D176" s="11"/>
      <c r="E176" s="11"/>
      <c r="F176" s="11"/>
      <c r="H176" s="50">
        <f ca="1">MAX(H74:H173)</f>
        <v>18.899999999999999</v>
      </c>
      <c r="I176" s="50">
        <f ca="1">ROUND(RAND()*(99-1)+1,0)</f>
        <v>68</v>
      </c>
    </row>
    <row r="177" spans="1:19" x14ac:dyDescent="0.3">
      <c r="A177" s="11"/>
      <c r="B177" s="11"/>
      <c r="C177" s="11"/>
      <c r="D177" s="11"/>
      <c r="E177" s="11"/>
      <c r="F177" s="11"/>
    </row>
    <row r="178" spans="1:19" x14ac:dyDescent="0.3">
      <c r="A178" s="11"/>
      <c r="B178" s="11"/>
      <c r="C178" s="11"/>
      <c r="D178" s="11"/>
      <c r="E178" s="11"/>
      <c r="F178" s="11"/>
    </row>
    <row r="179" spans="1:19" x14ac:dyDescent="0.3">
      <c r="A179" s="11"/>
      <c r="B179" s="11"/>
      <c r="C179" s="11"/>
      <c r="D179" s="11"/>
      <c r="E179" s="11"/>
      <c r="F179" s="11"/>
    </row>
    <row r="180" spans="1:19" ht="21" x14ac:dyDescent="0.4">
      <c r="A180" s="48"/>
      <c r="B180" s="11"/>
      <c r="E180" s="11"/>
      <c r="F180" s="13"/>
    </row>
    <row r="181" spans="1:19" x14ac:dyDescent="0.3">
      <c r="A181" s="11"/>
      <c r="B181" s="11"/>
      <c r="D181" s="45"/>
      <c r="E181" s="11"/>
      <c r="F181" s="11"/>
    </row>
    <row r="182" spans="1:19" x14ac:dyDescent="0.3">
      <c r="A182" s="11"/>
      <c r="B182" s="11"/>
      <c r="D182" s="45"/>
      <c r="E182" s="11"/>
      <c r="F182" s="11"/>
    </row>
    <row r="183" spans="1:19" x14ac:dyDescent="0.3">
      <c r="A183" s="11"/>
      <c r="B183" s="11"/>
      <c r="D183" s="45"/>
      <c r="E183" s="11"/>
      <c r="F183" s="11"/>
      <c r="L183" s="51"/>
      <c r="M183" s="51"/>
      <c r="R183" s="51"/>
      <c r="S183" s="51"/>
    </row>
    <row r="184" spans="1:19" x14ac:dyDescent="0.3">
      <c r="A184" s="11"/>
      <c r="B184" s="11"/>
      <c r="C184" s="11"/>
      <c r="D184" s="11"/>
      <c r="E184" s="11"/>
      <c r="F184" s="11"/>
    </row>
    <row r="185" spans="1:19" x14ac:dyDescent="0.3">
      <c r="A185" s="11"/>
      <c r="B185" s="11"/>
      <c r="C185" s="11"/>
      <c r="D185" s="11"/>
      <c r="E185" s="11"/>
      <c r="F185" s="11"/>
      <c r="K185" s="13"/>
      <c r="L185" s="13"/>
    </row>
    <row r="186" spans="1:19" x14ac:dyDescent="0.3">
      <c r="A186" s="11"/>
      <c r="B186" s="11"/>
      <c r="C186" s="11"/>
      <c r="D186" s="11"/>
      <c r="E186" s="11"/>
      <c r="F186" s="11"/>
    </row>
    <row r="187" spans="1:19" x14ac:dyDescent="0.3">
      <c r="A187" s="11"/>
      <c r="B187" s="11"/>
      <c r="C187" s="11"/>
      <c r="D187" s="11"/>
      <c r="E187" s="11"/>
      <c r="F187" s="11"/>
    </row>
    <row r="188" spans="1:19" x14ac:dyDescent="0.3">
      <c r="A188" s="11"/>
      <c r="B188" s="11"/>
      <c r="C188" s="11"/>
      <c r="D188" s="11"/>
      <c r="E188" s="11"/>
      <c r="F188" s="11"/>
    </row>
    <row r="189" spans="1:19" x14ac:dyDescent="0.3">
      <c r="A189" s="11"/>
      <c r="B189" s="11"/>
      <c r="C189" s="11"/>
      <c r="D189" s="11"/>
      <c r="E189" s="11"/>
      <c r="F189" s="11"/>
    </row>
    <row r="190" spans="1:19" x14ac:dyDescent="0.3">
      <c r="A190" s="11"/>
      <c r="B190" s="11"/>
      <c r="C190" s="11"/>
      <c r="D190" s="11"/>
      <c r="E190" s="11"/>
      <c r="F190" s="11"/>
    </row>
    <row r="191" spans="1:19" x14ac:dyDescent="0.3">
      <c r="A191" s="11"/>
      <c r="B191" s="11"/>
      <c r="C191" s="11"/>
      <c r="D191" s="11"/>
      <c r="E191" s="11"/>
      <c r="F191" s="11"/>
    </row>
    <row r="192" spans="1:19" x14ac:dyDescent="0.3">
      <c r="A192" s="11"/>
      <c r="B192" s="11"/>
      <c r="C192" s="11"/>
      <c r="D192" s="11"/>
      <c r="E192" s="11"/>
      <c r="F192" s="11"/>
    </row>
    <row r="193" spans="1:6" x14ac:dyDescent="0.3">
      <c r="A193" s="11"/>
      <c r="B193" s="11"/>
      <c r="C193" s="11"/>
      <c r="D193" s="11"/>
      <c r="E193" s="11"/>
      <c r="F193" s="11"/>
    </row>
    <row r="194" spans="1:6" x14ac:dyDescent="0.3">
      <c r="A194" s="11"/>
      <c r="B194" s="11"/>
      <c r="C194" s="11"/>
      <c r="D194" s="11"/>
      <c r="E194" s="11"/>
      <c r="F194" s="11"/>
    </row>
    <row r="195" spans="1:6" x14ac:dyDescent="0.3">
      <c r="A195" s="11"/>
      <c r="B195" s="11"/>
      <c r="C195" s="11"/>
      <c r="D195" s="11"/>
      <c r="E195" s="11"/>
      <c r="F195" s="11"/>
    </row>
    <row r="196" spans="1:6" x14ac:dyDescent="0.3">
      <c r="A196" s="11"/>
      <c r="B196" s="11"/>
      <c r="C196" s="11"/>
      <c r="D196" s="11"/>
      <c r="E196" s="11"/>
      <c r="F196" s="11"/>
    </row>
    <row r="197" spans="1:6" x14ac:dyDescent="0.3">
      <c r="A197" s="11"/>
      <c r="B197" s="11"/>
      <c r="C197" s="11"/>
      <c r="D197" s="11"/>
      <c r="E197" s="11"/>
      <c r="F197" s="11"/>
    </row>
    <row r="198" spans="1:6" x14ac:dyDescent="0.3">
      <c r="A198" s="11"/>
      <c r="B198" s="11"/>
      <c r="C198" s="11"/>
      <c r="D198" s="11"/>
      <c r="E198" s="11"/>
      <c r="F198" s="11"/>
    </row>
    <row r="199" spans="1:6" x14ac:dyDescent="0.3">
      <c r="A199" s="11"/>
      <c r="B199" s="11"/>
      <c r="C199" s="11"/>
      <c r="D199" s="11"/>
      <c r="E199" s="11"/>
      <c r="F199" s="11"/>
    </row>
    <row r="200" spans="1:6" x14ac:dyDescent="0.3">
      <c r="A200" s="11"/>
      <c r="B200" s="11"/>
      <c r="C200" s="11"/>
      <c r="D200" s="11"/>
      <c r="E200" s="11"/>
      <c r="F200" s="11"/>
    </row>
    <row r="201" spans="1:6" x14ac:dyDescent="0.3">
      <c r="A201" s="11"/>
      <c r="B201" s="11"/>
      <c r="C201" s="11"/>
      <c r="D201" s="11"/>
      <c r="E201" s="11"/>
      <c r="F201" s="11"/>
    </row>
    <row r="202" spans="1:6" x14ac:dyDescent="0.3">
      <c r="A202" s="11"/>
      <c r="B202" s="11"/>
      <c r="C202" s="11"/>
      <c r="D202" s="11"/>
      <c r="E202" s="11"/>
      <c r="F202" s="11"/>
    </row>
    <row r="203" spans="1:6" x14ac:dyDescent="0.3">
      <c r="A203" s="11"/>
      <c r="B203" s="11"/>
      <c r="C203" s="11"/>
      <c r="D203" s="11"/>
      <c r="E203" s="11"/>
      <c r="F203" s="11"/>
    </row>
    <row r="204" spans="1:6" x14ac:dyDescent="0.3">
      <c r="A204" s="11"/>
      <c r="B204" s="11"/>
      <c r="C204" s="11"/>
      <c r="D204" s="11"/>
      <c r="E204" s="11"/>
      <c r="F204" s="11"/>
    </row>
    <row r="205" spans="1:6" x14ac:dyDescent="0.3">
      <c r="A205" s="11"/>
      <c r="B205" s="11"/>
      <c r="C205" s="11"/>
      <c r="D205" s="11"/>
      <c r="E205" s="11"/>
      <c r="F205" s="11"/>
    </row>
    <row r="206" spans="1:6" x14ac:dyDescent="0.3">
      <c r="A206" s="11"/>
      <c r="B206" s="11"/>
      <c r="C206" s="11"/>
      <c r="D206" s="11"/>
      <c r="E206" s="11"/>
      <c r="F206" s="11"/>
    </row>
    <row r="207" spans="1:6" x14ac:dyDescent="0.3">
      <c r="A207" s="11"/>
      <c r="B207" s="11"/>
      <c r="C207" s="11"/>
      <c r="D207" s="11"/>
      <c r="E207" s="11"/>
      <c r="F207" s="11"/>
    </row>
    <row r="208" spans="1:6" x14ac:dyDescent="0.3">
      <c r="A208" s="11"/>
      <c r="B208" s="11"/>
      <c r="C208" s="11"/>
      <c r="D208" s="11"/>
      <c r="E208" s="11"/>
      <c r="F208" s="11"/>
    </row>
    <row r="209" spans="1:6" x14ac:dyDescent="0.3">
      <c r="A209" s="11"/>
      <c r="B209" s="11"/>
      <c r="C209" s="11"/>
      <c r="D209" s="11"/>
      <c r="E209" s="11"/>
      <c r="F209" s="11"/>
    </row>
    <row r="210" spans="1:6" x14ac:dyDescent="0.3">
      <c r="A210" s="11"/>
      <c r="B210" s="11"/>
      <c r="C210" s="11"/>
      <c r="D210" s="11"/>
      <c r="E210" s="11"/>
      <c r="F210" s="11"/>
    </row>
    <row r="211" spans="1:6" x14ac:dyDescent="0.3">
      <c r="A211" s="11"/>
      <c r="B211" s="11"/>
      <c r="C211" s="11"/>
      <c r="D211" s="11"/>
      <c r="E211" s="11"/>
      <c r="F211" s="11"/>
    </row>
    <row r="212" spans="1:6" x14ac:dyDescent="0.3">
      <c r="A212" s="11"/>
      <c r="B212" s="11"/>
      <c r="C212" s="11"/>
      <c r="D212" s="11"/>
      <c r="E212" s="11"/>
      <c r="F212" s="11"/>
    </row>
    <row r="213" spans="1:6" x14ac:dyDescent="0.3">
      <c r="A213" s="11"/>
      <c r="B213" s="11"/>
      <c r="C213" s="11"/>
      <c r="D213" s="11"/>
      <c r="E213" s="11"/>
      <c r="F213" s="11"/>
    </row>
    <row r="214" spans="1:6" x14ac:dyDescent="0.3">
      <c r="A214" s="11"/>
      <c r="B214" s="11"/>
      <c r="C214" s="11"/>
      <c r="D214" s="11"/>
      <c r="E214" s="11"/>
      <c r="F214" s="11"/>
    </row>
    <row r="215" spans="1:6" x14ac:dyDescent="0.3">
      <c r="A215" s="11"/>
      <c r="B215" s="11"/>
      <c r="C215" s="11"/>
      <c r="D215" s="11"/>
      <c r="E215" s="11"/>
      <c r="F215" s="11"/>
    </row>
    <row r="216" spans="1:6" x14ac:dyDescent="0.3">
      <c r="A216" s="11"/>
      <c r="B216" s="11"/>
      <c r="C216" s="11"/>
      <c r="D216" s="11"/>
      <c r="E216" s="11"/>
      <c r="F216" s="11"/>
    </row>
    <row r="217" spans="1:6" x14ac:dyDescent="0.3">
      <c r="A217" s="11"/>
      <c r="B217" s="11"/>
      <c r="C217" s="11"/>
      <c r="D217" s="11"/>
      <c r="E217" s="11"/>
      <c r="F217" s="11"/>
    </row>
    <row r="218" spans="1:6" x14ac:dyDescent="0.3">
      <c r="A218" s="11"/>
      <c r="B218" s="11"/>
      <c r="C218" s="11"/>
      <c r="D218" s="11"/>
      <c r="E218" s="11"/>
      <c r="F218" s="11"/>
    </row>
    <row r="219" spans="1:6" x14ac:dyDescent="0.3">
      <c r="A219" s="11"/>
      <c r="B219" s="11"/>
      <c r="C219" s="11"/>
      <c r="D219" s="11"/>
      <c r="E219" s="11"/>
      <c r="F219" s="11"/>
    </row>
    <row r="220" spans="1:6" x14ac:dyDescent="0.3">
      <c r="A220" s="11"/>
      <c r="B220" s="11"/>
      <c r="C220" s="11"/>
      <c r="D220" s="11"/>
      <c r="E220" s="11"/>
      <c r="F220" s="11"/>
    </row>
    <row r="221" spans="1:6" x14ac:dyDescent="0.3">
      <c r="A221" s="11"/>
      <c r="B221" s="11"/>
      <c r="C221" s="11"/>
      <c r="D221" s="11"/>
      <c r="E221" s="11"/>
      <c r="F221" s="11"/>
    </row>
    <row r="222" spans="1:6" x14ac:dyDescent="0.3">
      <c r="A222" s="11"/>
      <c r="B222" s="11"/>
      <c r="C222" s="11"/>
      <c r="D222" s="11"/>
      <c r="E222" s="11"/>
      <c r="F222" s="11"/>
    </row>
    <row r="223" spans="1:6" x14ac:dyDescent="0.3">
      <c r="A223" s="11"/>
      <c r="B223" s="11"/>
      <c r="C223" s="11"/>
      <c r="D223" s="11"/>
      <c r="E223" s="11"/>
      <c r="F223" s="11"/>
    </row>
    <row r="224" spans="1:6" x14ac:dyDescent="0.3">
      <c r="A224" s="11"/>
      <c r="B224" s="11"/>
      <c r="C224" s="11"/>
      <c r="D224" s="11"/>
      <c r="E224" s="11"/>
      <c r="F224" s="11"/>
    </row>
    <row r="225" spans="1:6" x14ac:dyDescent="0.3">
      <c r="A225" s="11"/>
      <c r="B225" s="11"/>
      <c r="C225" s="11"/>
      <c r="D225" s="11"/>
      <c r="E225" s="11"/>
      <c r="F225" s="11"/>
    </row>
    <row r="226" spans="1:6" x14ac:dyDescent="0.3">
      <c r="A226" s="11"/>
      <c r="B226" s="11"/>
      <c r="C226" s="11"/>
      <c r="D226" s="11"/>
      <c r="E226" s="11"/>
      <c r="F226" s="11"/>
    </row>
    <row r="227" spans="1:6" x14ac:dyDescent="0.3">
      <c r="A227" s="11"/>
      <c r="B227" s="11"/>
      <c r="C227" s="11"/>
      <c r="D227" s="11"/>
      <c r="E227" s="11"/>
      <c r="F227" s="11"/>
    </row>
    <row r="228" spans="1:6" x14ac:dyDescent="0.3">
      <c r="A228" s="11"/>
      <c r="B228" s="11"/>
      <c r="C228" s="11"/>
      <c r="D228" s="11"/>
      <c r="E228" s="11"/>
      <c r="F228" s="11"/>
    </row>
    <row r="229" spans="1:6" x14ac:dyDescent="0.3">
      <c r="A229" s="11"/>
      <c r="B229" s="11"/>
      <c r="C229" s="11"/>
      <c r="D229" s="11"/>
      <c r="E229" s="11"/>
      <c r="F229" s="11"/>
    </row>
    <row r="230" spans="1:6" x14ac:dyDescent="0.3">
      <c r="A230" s="11"/>
      <c r="B230" s="11"/>
      <c r="C230" s="11"/>
      <c r="D230" s="11"/>
      <c r="E230" s="11"/>
      <c r="F230" s="11"/>
    </row>
    <row r="231" spans="1:6" x14ac:dyDescent="0.3">
      <c r="A231" s="11"/>
      <c r="B231" s="11"/>
      <c r="C231" s="11"/>
      <c r="D231" s="11"/>
      <c r="E231" s="11"/>
      <c r="F231" s="11"/>
    </row>
    <row r="232" spans="1:6" x14ac:dyDescent="0.3">
      <c r="A232" s="11"/>
      <c r="B232" s="11"/>
      <c r="C232" s="11"/>
      <c r="D232" s="11"/>
      <c r="E232" s="11"/>
      <c r="F232" s="11"/>
    </row>
    <row r="233" spans="1:6" x14ac:dyDescent="0.3">
      <c r="A233" s="11"/>
      <c r="B233" s="11"/>
      <c r="C233" s="11"/>
      <c r="D233" s="11"/>
      <c r="E233" s="11"/>
      <c r="F233" s="11"/>
    </row>
    <row r="234" spans="1:6" x14ac:dyDescent="0.3">
      <c r="A234" s="11"/>
      <c r="B234" s="11"/>
      <c r="C234" s="11"/>
      <c r="D234" s="11"/>
      <c r="E234" s="11"/>
      <c r="F234" s="11"/>
    </row>
    <row r="235" spans="1:6" x14ac:dyDescent="0.3">
      <c r="A235" s="11"/>
      <c r="B235" s="11"/>
      <c r="C235" s="11"/>
      <c r="D235" s="11"/>
      <c r="E235" s="11"/>
      <c r="F235" s="11"/>
    </row>
    <row r="236" spans="1:6" x14ac:dyDescent="0.3">
      <c r="A236" s="11"/>
      <c r="B236" s="11"/>
      <c r="C236" s="11"/>
      <c r="D236" s="11"/>
      <c r="E236" s="11"/>
      <c r="F236" s="11"/>
    </row>
    <row r="237" spans="1:6" x14ac:dyDescent="0.3">
      <c r="A237" s="11"/>
      <c r="B237" s="11"/>
      <c r="C237" s="11"/>
      <c r="D237" s="11"/>
      <c r="E237" s="11"/>
      <c r="F237" s="11"/>
    </row>
    <row r="238" spans="1:6" x14ac:dyDescent="0.3">
      <c r="A238" s="11"/>
      <c r="B238" s="11"/>
      <c r="C238" s="11"/>
      <c r="D238" s="11"/>
      <c r="E238" s="11"/>
      <c r="F238" s="11"/>
    </row>
    <row r="239" spans="1:6" x14ac:dyDescent="0.3">
      <c r="A239" s="11"/>
      <c r="B239" s="11"/>
      <c r="C239" s="11"/>
      <c r="D239" s="11"/>
      <c r="E239" s="11"/>
      <c r="F239" s="11"/>
    </row>
    <row r="240" spans="1:6" x14ac:dyDescent="0.3">
      <c r="A240" s="11"/>
      <c r="B240" s="11"/>
      <c r="C240" s="11"/>
      <c r="D240" s="11"/>
      <c r="E240" s="11"/>
      <c r="F240" s="11"/>
    </row>
    <row r="260" spans="1:1" ht="21" x14ac:dyDescent="0.4">
      <c r="A260" s="48"/>
    </row>
    <row r="340" spans="1:1" ht="21" x14ac:dyDescent="0.4">
      <c r="A340" s="48"/>
    </row>
    <row r="420" spans="1:1" ht="21" x14ac:dyDescent="0.4">
      <c r="A420" s="48"/>
    </row>
    <row r="500" spans="1:1" ht="21" x14ac:dyDescent="0.4">
      <c r="A500" s="48"/>
    </row>
    <row r="580" spans="1:1" ht="21" x14ac:dyDescent="0.4">
      <c r="A580" s="48"/>
    </row>
    <row r="660" spans="1:1" ht="21" x14ac:dyDescent="0.4">
      <c r="A660" s="48"/>
    </row>
  </sheetData>
  <mergeCells count="13">
    <mergeCell ref="E4:G4"/>
    <mergeCell ref="A2:D2"/>
    <mergeCell ref="A1:D1"/>
    <mergeCell ref="J3:N3"/>
    <mergeCell ref="E72:H72"/>
    <mergeCell ref="I72:J72"/>
    <mergeCell ref="M72:Q72"/>
    <mergeCell ref="R72:V72"/>
    <mergeCell ref="E5:F5"/>
    <mergeCell ref="G5:H5"/>
    <mergeCell ref="I5:J5"/>
    <mergeCell ref="K5:L5"/>
    <mergeCell ref="M5:N5"/>
  </mergeCells>
  <dataValidations count="5">
    <dataValidation type="decimal" allowBlank="1" showInputMessage="1" showErrorMessage="1" sqref="B26" xr:uid="{978AB3B9-40C5-493D-9C7A-0F74BAD6D576}">
      <formula1>1</formula1>
      <formula2>99</formula2>
    </dataValidation>
    <dataValidation type="decimal" allowBlank="1" showInputMessage="1" showErrorMessage="1" sqref="B25" xr:uid="{D289D10D-69D8-474B-9C73-B17B09123D89}">
      <formula1>(B23)</formula1>
      <formula2>(D23)</formula2>
    </dataValidation>
    <dataValidation type="decimal" allowBlank="1" showInputMessage="1" showErrorMessage="1" sqref="D37" xr:uid="{16CBA5DA-5FE6-4648-9CEB-DD9E1403DB05}">
      <formula1>IF(#REF!=0,(MIN(A4:A34)),-10^9)</formula1>
      <formula2>IF(#REF!=0,(MAX(A4:A34)),10^9)</formula2>
    </dataValidation>
    <dataValidation type="decimal" allowBlank="1" showInputMessage="1" showErrorMessage="1" sqref="D40" xr:uid="{B1F10E5F-6639-437E-BC3B-F70F9626193C}">
      <formula1>IF(#REF!=0,(MIN(B4:B34)),10^-9)</formula1>
      <formula2>IF(#REF!=0,(MAX(B4:B34)),#REF!)</formula2>
    </dataValidation>
    <dataValidation type="whole" operator="equal" allowBlank="1" showInputMessage="1" showErrorMessage="1" sqref="P3:T22" xr:uid="{75972275-6564-4030-B342-464AB33BFF28}">
      <formula1>100000</formula1>
    </dataValidation>
  </dataValidations>
  <pageMargins left="0.7" right="0.7" top="0.78740157499999996" bottom="0.78740157499999996" header="0.3" footer="0.3"/>
  <pageSetup paperSize="9" scale="95" orientation="landscape" horizontalDpi="4294967293" verticalDpi="4294967293" r:id="rId1"/>
  <ignoredErrors>
    <ignoredError sqref="R1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331"/>
  <sheetViews>
    <sheetView topLeftCell="O2" zoomScale="144" zoomScaleNormal="144" workbookViewId="0">
      <selection activeCell="O2" sqref="O2:U22"/>
    </sheetView>
  </sheetViews>
  <sheetFormatPr baseColWidth="10" defaultRowHeight="14.4" x14ac:dyDescent="0.3"/>
  <cols>
    <col min="1" max="1" width="41.5546875" style="9" customWidth="1"/>
    <col min="2" max="2" width="27.5546875" style="9" customWidth="1"/>
    <col min="3" max="3" width="22.77734375" style="9" customWidth="1"/>
    <col min="4" max="4" width="33.5546875" style="9" customWidth="1"/>
    <col min="5" max="5" width="14.44140625" style="9" customWidth="1"/>
    <col min="6" max="6" width="12" style="9" customWidth="1"/>
    <col min="7" max="7" width="14.5546875" style="9" customWidth="1"/>
    <col min="8" max="8" width="10" style="9" customWidth="1"/>
    <col min="9" max="9" width="11.5546875" style="9"/>
    <col min="10" max="10" width="12.21875" style="9" customWidth="1"/>
    <col min="11" max="11" width="12" style="9" customWidth="1"/>
    <col min="12" max="12" width="20.109375" style="9" customWidth="1"/>
    <col min="13" max="13" width="11.5546875" style="9"/>
    <col min="14" max="14" width="12.5546875" style="9" customWidth="1"/>
    <col min="15" max="15" width="11.5546875" style="9"/>
    <col min="16" max="16" width="18.88671875" style="9" customWidth="1"/>
    <col min="17" max="17" width="18.77734375" style="9" customWidth="1"/>
    <col min="18" max="18" width="21.33203125" style="9" customWidth="1"/>
    <col min="19" max="19" width="18.21875" style="9" customWidth="1"/>
    <col min="20" max="20" width="19.44140625" style="9" customWidth="1"/>
    <col min="21" max="16384" width="11.5546875" style="9"/>
  </cols>
  <sheetData>
    <row r="1" spans="1:21" ht="18" x14ac:dyDescent="0.35">
      <c r="A1" s="161" t="s">
        <v>57</v>
      </c>
      <c r="B1" s="169"/>
      <c r="C1" s="169"/>
      <c r="D1" s="170"/>
      <c r="E1" s="6"/>
      <c r="F1" s="7"/>
      <c r="G1" s="7"/>
      <c r="H1" s="7"/>
      <c r="I1" s="7"/>
      <c r="J1" s="7"/>
      <c r="K1" s="7"/>
      <c r="L1" s="7"/>
      <c r="M1" s="7"/>
      <c r="N1" s="8"/>
    </row>
    <row r="2" spans="1:21" ht="18" x14ac:dyDescent="0.35">
      <c r="A2" s="159" t="s">
        <v>58</v>
      </c>
      <c r="B2" s="171"/>
      <c r="C2" s="171"/>
      <c r="D2" s="172"/>
      <c r="E2" s="10"/>
      <c r="F2" s="11"/>
      <c r="G2" s="12">
        <v>1</v>
      </c>
      <c r="H2" s="13" t="str">
        <f>'FALL 1'!H2</f>
        <v>bis</v>
      </c>
      <c r="I2" s="12">
        <f>'FALL 1'!I2</f>
        <v>50</v>
      </c>
      <c r="J2" s="14"/>
      <c r="K2" s="14"/>
      <c r="L2" s="14"/>
      <c r="M2" s="14"/>
      <c r="N2" s="15"/>
      <c r="O2" s="16" t="s">
        <v>144</v>
      </c>
      <c r="P2" s="17"/>
      <c r="Q2" s="17" t="s">
        <v>148</v>
      </c>
      <c r="R2" s="17" t="s">
        <v>146</v>
      </c>
      <c r="S2" s="18"/>
      <c r="T2" s="17"/>
      <c r="U2" s="17"/>
    </row>
    <row r="3" spans="1:21" ht="15.6" customHeight="1" x14ac:dyDescent="0.45">
      <c r="A3" s="19"/>
      <c r="D3" s="20"/>
      <c r="E3" s="10" t="str">
        <f>'FALL 1'!E3</f>
        <v>ZUFALLSZAHLEN von</v>
      </c>
      <c r="F3" s="11"/>
      <c r="G3" s="12">
        <f>'FALL 1'!G3</f>
        <v>1</v>
      </c>
      <c r="H3" s="13" t="str">
        <f>'FALL 1'!H3</f>
        <v>bis</v>
      </c>
      <c r="I3" s="12">
        <f>'FALL 1'!I3</f>
        <v>50</v>
      </c>
      <c r="J3" s="164" t="str">
        <f>'FALL 1'!J3</f>
        <v>GEZOGENE ZUFALLSZAHLEN</v>
      </c>
      <c r="K3" s="165"/>
      <c r="L3" s="165"/>
      <c r="M3" s="166"/>
      <c r="N3" s="167"/>
      <c r="O3" s="21"/>
      <c r="P3" s="63" t="str">
        <f ca="1">IF($H$176=I74,I74,"")</f>
        <v/>
      </c>
      <c r="Q3" s="63" t="str">
        <f ca="1">IF($H$176=I94,I94,"")</f>
        <v/>
      </c>
      <c r="R3" s="23" t="str">
        <f ca="1">IF($H$176=I114,I114,"")</f>
        <v/>
      </c>
      <c r="S3" s="24" t="str">
        <f ca="1">IF($H$176=I134,I134,"")</f>
        <v/>
      </c>
      <c r="T3" s="24" t="str">
        <f ca="1">IF($H$176=I154,I154,"")</f>
        <v/>
      </c>
      <c r="U3" s="21"/>
    </row>
    <row r="4" spans="1:21" ht="15.6" customHeight="1" x14ac:dyDescent="0.3">
      <c r="A4" s="25"/>
      <c r="D4" s="20"/>
      <c r="E4" s="157" t="str">
        <f>'FALL 1'!E4</f>
        <v>GEZOGENE ZUFALLSZAHLEN (unten):</v>
      </c>
      <c r="F4" s="158"/>
      <c r="G4" s="149"/>
      <c r="H4" s="13" t="str">
        <f>'FALL 1'!H4</f>
        <v>ANZAHL ZZ</v>
      </c>
      <c r="I4" s="12">
        <f>'FALL 1'!I4</f>
        <v>100</v>
      </c>
      <c r="J4" s="12"/>
      <c r="K4" s="12" t="str">
        <f>'FALL 1'!K4</f>
        <v>r für ZZ:</v>
      </c>
      <c r="L4" s="12">
        <f ca="1">'FALL 6'!$M$183</f>
        <v>0.99619635986906463</v>
      </c>
      <c r="M4" s="12" t="str">
        <f>'FALL 1'!M4</f>
        <v>r für ZZ:</v>
      </c>
      <c r="N4" s="26">
        <f ca="1">'FALL 6'!$R$183</f>
        <v>0.99592091441328545</v>
      </c>
      <c r="O4" s="21"/>
      <c r="P4" s="63" t="str">
        <f t="shared" ref="P4:P22" ca="1" si="0">IF($H$176=I75,I75,"")</f>
        <v/>
      </c>
      <c r="Q4" s="63" t="str">
        <f t="shared" ref="Q4:Q22" ca="1" si="1">IF($H$176=I95,I95,"")</f>
        <v/>
      </c>
      <c r="R4" s="23" t="str">
        <f t="shared" ref="R4:R11" ca="1" si="2">IF($H$176=I115,I115,"")</f>
        <v/>
      </c>
      <c r="S4" s="24" t="str">
        <f t="shared" ref="S4:S22" ca="1" si="3">IF($H$176=I135,I135,"")</f>
        <v/>
      </c>
      <c r="T4" s="24" t="str">
        <f t="shared" ref="T4:T22" ca="1" si="4">IF($H$176=I155,I155,"")</f>
        <v/>
      </c>
      <c r="U4" s="21"/>
    </row>
    <row r="5" spans="1:21" ht="15.6" x14ac:dyDescent="0.3">
      <c r="A5" s="19"/>
      <c r="B5" s="11"/>
      <c r="C5" s="11"/>
      <c r="D5" s="27"/>
      <c r="E5" s="152" t="str">
        <f>'FALL 1'!E5</f>
        <v>Ziehung 1 bis 20, sortiert</v>
      </c>
      <c r="F5" s="153"/>
      <c r="G5" s="155" t="str">
        <f>'FALL 1'!G5</f>
        <v>Ziehung 21 bis 40, sortiert</v>
      </c>
      <c r="H5" s="155"/>
      <c r="I5" s="154" t="str">
        <f>'FALL 1'!I5</f>
        <v>Ziehung 41 bis 60, sortiert</v>
      </c>
      <c r="J5" s="154"/>
      <c r="K5" s="155" t="str">
        <f>'FALL 1'!K5</f>
        <v>Ziehung 61 bis 80, sortiert</v>
      </c>
      <c r="L5" s="155"/>
      <c r="M5" s="155" t="str">
        <f>'FALL 1'!M5</f>
        <v>Ziehung 81 bis 100, sortiert</v>
      </c>
      <c r="N5" s="156"/>
      <c r="O5" s="21"/>
      <c r="P5" s="63" t="str">
        <f t="shared" ca="1" si="0"/>
        <v/>
      </c>
      <c r="Q5" s="63" t="str">
        <f t="shared" ca="1" si="1"/>
        <v/>
      </c>
      <c r="R5" s="23" t="str">
        <f t="shared" ca="1" si="2"/>
        <v/>
      </c>
      <c r="S5" s="24" t="str">
        <f t="shared" ca="1" si="3"/>
        <v/>
      </c>
      <c r="T5" s="24" t="str">
        <f t="shared" ca="1" si="4"/>
        <v/>
      </c>
      <c r="U5" s="21"/>
    </row>
    <row r="6" spans="1:21" ht="15.6" x14ac:dyDescent="0.3">
      <c r="A6" s="19"/>
      <c r="B6" s="11"/>
      <c r="C6" s="11"/>
      <c r="D6" s="28"/>
      <c r="E6" s="29" t="str">
        <f>'FALL 1'!E6</f>
        <v>Zufallszahl</v>
      </c>
      <c r="F6" s="12" t="str">
        <f>'FALL 1'!F6</f>
        <v>ganze Zahl</v>
      </c>
      <c r="G6" s="12" t="str">
        <f>'FALL 1'!G6</f>
        <v>Zufallszahl</v>
      </c>
      <c r="H6" s="12" t="str">
        <f>'FALL 1'!H6</f>
        <v>ganze Zahl</v>
      </c>
      <c r="I6" s="12" t="str">
        <f>'FALL 1'!I6</f>
        <v>Zufallszahl</v>
      </c>
      <c r="J6" s="12" t="str">
        <f>'FALL 1'!J6</f>
        <v>ganze Zahl</v>
      </c>
      <c r="K6" s="30" t="str">
        <f>'FALL 1'!K6</f>
        <v>Zufallszahl</v>
      </c>
      <c r="L6" s="12" t="str">
        <f>'FALL 1'!L6</f>
        <v>ganze Zahl</v>
      </c>
      <c r="M6" s="30" t="str">
        <f>'FALL 1'!M6</f>
        <v>Zufallszahl</v>
      </c>
      <c r="N6" s="26" t="str">
        <f>'FALL 1'!N6</f>
        <v>ganze Zahl</v>
      </c>
      <c r="O6" s="21"/>
      <c r="P6" s="63" t="str">
        <f t="shared" ca="1" si="0"/>
        <v/>
      </c>
      <c r="Q6" s="63" t="str">
        <f t="shared" ca="1" si="1"/>
        <v/>
      </c>
      <c r="R6" s="23" t="str">
        <f t="shared" ca="1" si="2"/>
        <v/>
      </c>
      <c r="S6" s="24" t="str">
        <f t="shared" ca="1" si="3"/>
        <v/>
      </c>
      <c r="T6" s="24" t="str">
        <f t="shared" ca="1" si="4"/>
        <v/>
      </c>
      <c r="U6" s="21"/>
    </row>
    <row r="7" spans="1:21" ht="15.6" x14ac:dyDescent="0.3">
      <c r="A7" s="19"/>
      <c r="B7" s="11"/>
      <c r="C7" s="11"/>
      <c r="D7" s="28"/>
      <c r="E7" s="31">
        <f t="shared" ref="E7:E26" ca="1" si="5">I74</f>
        <v>10.6</v>
      </c>
      <c r="F7" s="13">
        <f ca="1">IF(E7="","",ROUND(E7,0))</f>
        <v>11</v>
      </c>
      <c r="G7" s="13">
        <f t="shared" ref="G7:G26" ca="1" si="6">I94</f>
        <v>25.9</v>
      </c>
      <c r="H7" s="13">
        <f ca="1">IF(G7="","",ROUND(G7,0))</f>
        <v>26</v>
      </c>
      <c r="I7" s="13">
        <f t="shared" ref="I7:I26" ca="1" si="7">I114</f>
        <v>30.8</v>
      </c>
      <c r="J7" s="13">
        <f ca="1">IF(I7="","",ROUND(I7,0))</f>
        <v>31</v>
      </c>
      <c r="K7" s="13">
        <f t="shared" ref="K7:K26" ca="1" si="8">I134</f>
        <v>36</v>
      </c>
      <c r="L7" s="13">
        <f ca="1">IF(K7="","",ROUND(K7,0))</f>
        <v>36</v>
      </c>
      <c r="M7" s="13">
        <f t="shared" ref="M7:M26" ca="1" si="9">I154</f>
        <v>40.4</v>
      </c>
      <c r="N7" s="32">
        <f ca="1">IF(M7="","",ROUND(M7,0))</f>
        <v>40</v>
      </c>
      <c r="O7" s="21"/>
      <c r="P7" s="63" t="str">
        <f t="shared" ca="1" si="0"/>
        <v/>
      </c>
      <c r="Q7" s="63" t="str">
        <f t="shared" ca="1" si="1"/>
        <v/>
      </c>
      <c r="R7" s="23" t="str">
        <f t="shared" ca="1" si="2"/>
        <v/>
      </c>
      <c r="S7" s="24" t="str">
        <f t="shared" ca="1" si="3"/>
        <v/>
      </c>
      <c r="T7" s="24" t="str">
        <f t="shared" ca="1" si="4"/>
        <v/>
      </c>
      <c r="U7" s="21"/>
    </row>
    <row r="8" spans="1:21" ht="15.6" x14ac:dyDescent="0.3">
      <c r="A8" s="19"/>
      <c r="B8" s="11"/>
      <c r="C8" s="11"/>
      <c r="D8" s="28"/>
      <c r="E8" s="31">
        <f t="shared" ca="1" si="5"/>
        <v>13.3</v>
      </c>
      <c r="F8" s="13">
        <f t="shared" ref="F8:F26" ca="1" si="10">IF(E8="","",ROUND(E8,0))</f>
        <v>13</v>
      </c>
      <c r="G8" s="13">
        <f t="shared" ca="1" si="6"/>
        <v>26.1</v>
      </c>
      <c r="H8" s="13">
        <f t="shared" ref="H8:H26" ca="1" si="11">IF(G8="","",ROUND(G8,0))</f>
        <v>26</v>
      </c>
      <c r="I8" s="13">
        <f t="shared" ca="1" si="7"/>
        <v>31.1</v>
      </c>
      <c r="J8" s="13">
        <f t="shared" ref="J8:J26" ca="1" si="12">IF(I8="","",ROUND(I8,0))</f>
        <v>31</v>
      </c>
      <c r="K8" s="13">
        <f t="shared" ca="1" si="8"/>
        <v>36.200000000000003</v>
      </c>
      <c r="L8" s="13">
        <f t="shared" ref="L8:L26" ca="1" si="13">IF(K8="","",ROUND(K8,0))</f>
        <v>36</v>
      </c>
      <c r="M8" s="13">
        <f t="shared" ca="1" si="9"/>
        <v>40.4</v>
      </c>
      <c r="N8" s="32">
        <f t="shared" ref="N8:N26" ca="1" si="14">IF(M8="","",ROUND(M8,0))</f>
        <v>40</v>
      </c>
      <c r="O8" s="21"/>
      <c r="P8" s="63" t="str">
        <f t="shared" ca="1" si="0"/>
        <v/>
      </c>
      <c r="Q8" s="63" t="str">
        <f t="shared" ca="1" si="1"/>
        <v/>
      </c>
      <c r="R8" s="23" t="str">
        <f t="shared" ca="1" si="2"/>
        <v/>
      </c>
      <c r="S8" s="24" t="str">
        <f t="shared" ca="1" si="3"/>
        <v/>
      </c>
      <c r="T8" s="24" t="str">
        <f t="shared" ca="1" si="4"/>
        <v/>
      </c>
      <c r="U8" s="21"/>
    </row>
    <row r="9" spans="1:21" ht="15.6" x14ac:dyDescent="0.3">
      <c r="A9" s="19"/>
      <c r="B9" s="11"/>
      <c r="C9" s="11"/>
      <c r="D9" s="28"/>
      <c r="E9" s="31">
        <f t="shared" ca="1" si="5"/>
        <v>13.3</v>
      </c>
      <c r="F9" s="13">
        <f t="shared" ca="1" si="10"/>
        <v>13</v>
      </c>
      <c r="G9" s="13">
        <f t="shared" ca="1" si="6"/>
        <v>26.3</v>
      </c>
      <c r="H9" s="13">
        <f t="shared" ca="1" si="11"/>
        <v>26</v>
      </c>
      <c r="I9" s="13">
        <f t="shared" ca="1" si="7"/>
        <v>32.1</v>
      </c>
      <c r="J9" s="13">
        <f t="shared" ca="1" si="12"/>
        <v>32</v>
      </c>
      <c r="K9" s="13">
        <f t="shared" ca="1" si="8"/>
        <v>36.4</v>
      </c>
      <c r="L9" s="13">
        <f t="shared" ca="1" si="13"/>
        <v>36</v>
      </c>
      <c r="M9" s="13">
        <f t="shared" ca="1" si="9"/>
        <v>40.5</v>
      </c>
      <c r="N9" s="32">
        <f t="shared" ca="1" si="14"/>
        <v>41</v>
      </c>
      <c r="O9" s="21"/>
      <c r="P9" s="63" t="str">
        <f t="shared" ca="1" si="0"/>
        <v/>
      </c>
      <c r="Q9" s="63" t="str">
        <f t="shared" ca="1" si="1"/>
        <v/>
      </c>
      <c r="R9" s="23" t="str">
        <f t="shared" ca="1" si="2"/>
        <v/>
      </c>
      <c r="S9" s="24" t="str">
        <f t="shared" ca="1" si="3"/>
        <v/>
      </c>
      <c r="T9" s="24" t="str">
        <f t="shared" ca="1" si="4"/>
        <v/>
      </c>
      <c r="U9" s="21"/>
    </row>
    <row r="10" spans="1:21" ht="15.6" x14ac:dyDescent="0.3">
      <c r="A10" s="19"/>
      <c r="B10" s="11"/>
      <c r="C10" s="11"/>
      <c r="D10" s="28"/>
      <c r="E10" s="31">
        <f t="shared" ca="1" si="5"/>
        <v>14.5</v>
      </c>
      <c r="F10" s="13">
        <f t="shared" ca="1" si="10"/>
        <v>15</v>
      </c>
      <c r="G10" s="13">
        <f t="shared" ca="1" si="6"/>
        <v>26.8</v>
      </c>
      <c r="H10" s="13">
        <f t="shared" ca="1" si="11"/>
        <v>27</v>
      </c>
      <c r="I10" s="13">
        <f t="shared" ca="1" si="7"/>
        <v>32.5</v>
      </c>
      <c r="J10" s="13">
        <f t="shared" ca="1" si="12"/>
        <v>33</v>
      </c>
      <c r="K10" s="13">
        <f t="shared" ca="1" si="8"/>
        <v>36.4</v>
      </c>
      <c r="L10" s="13">
        <f t="shared" ca="1" si="13"/>
        <v>36</v>
      </c>
      <c r="M10" s="13">
        <f t="shared" ca="1" si="9"/>
        <v>40.5</v>
      </c>
      <c r="N10" s="32">
        <f t="shared" ca="1" si="14"/>
        <v>41</v>
      </c>
      <c r="O10" s="21"/>
      <c r="P10" s="63" t="str">
        <f t="shared" ca="1" si="0"/>
        <v/>
      </c>
      <c r="Q10" s="63" t="str">
        <f t="shared" ca="1" si="1"/>
        <v/>
      </c>
      <c r="R10" s="23" t="str">
        <f t="shared" ca="1" si="2"/>
        <v/>
      </c>
      <c r="S10" s="24" t="str">
        <f t="shared" ca="1" si="3"/>
        <v/>
      </c>
      <c r="T10" s="24" t="str">
        <f t="shared" ca="1" si="4"/>
        <v/>
      </c>
      <c r="U10" s="21"/>
    </row>
    <row r="11" spans="1:21" ht="15.6" x14ac:dyDescent="0.3">
      <c r="A11" s="19"/>
      <c r="B11" s="11"/>
      <c r="C11" s="11"/>
      <c r="D11" s="28"/>
      <c r="E11" s="31">
        <f t="shared" ca="1" si="5"/>
        <v>16.3</v>
      </c>
      <c r="F11" s="13">
        <f t="shared" ca="1" si="10"/>
        <v>16</v>
      </c>
      <c r="G11" s="13">
        <f t="shared" ca="1" si="6"/>
        <v>26.8</v>
      </c>
      <c r="H11" s="13">
        <f t="shared" ca="1" si="11"/>
        <v>27</v>
      </c>
      <c r="I11" s="13">
        <f t="shared" ca="1" si="7"/>
        <v>32.700000000000003</v>
      </c>
      <c r="J11" s="13">
        <f t="shared" ca="1" si="12"/>
        <v>33</v>
      </c>
      <c r="K11" s="13">
        <f t="shared" ca="1" si="8"/>
        <v>36.6</v>
      </c>
      <c r="L11" s="13">
        <f t="shared" ca="1" si="13"/>
        <v>37</v>
      </c>
      <c r="M11" s="13">
        <f t="shared" ca="1" si="9"/>
        <v>40.799999999999997</v>
      </c>
      <c r="N11" s="32">
        <f t="shared" ca="1" si="14"/>
        <v>41</v>
      </c>
      <c r="O11" s="21"/>
      <c r="P11" s="63" t="str">
        <f t="shared" ca="1" si="0"/>
        <v/>
      </c>
      <c r="Q11" s="63" t="str">
        <f t="shared" ca="1" si="1"/>
        <v/>
      </c>
      <c r="R11" s="33" t="str">
        <f t="shared" ca="1" si="2"/>
        <v/>
      </c>
      <c r="S11" s="24" t="str">
        <f t="shared" ca="1" si="3"/>
        <v/>
      </c>
      <c r="T11" s="24" t="str">
        <f t="shared" ca="1" si="4"/>
        <v/>
      </c>
      <c r="U11" s="21"/>
    </row>
    <row r="12" spans="1:21" ht="15.6" customHeight="1" x14ac:dyDescent="0.5">
      <c r="A12" s="19"/>
      <c r="B12" s="11"/>
      <c r="C12" s="11"/>
      <c r="D12" s="28"/>
      <c r="E12" s="31">
        <f t="shared" ca="1" si="5"/>
        <v>16.8</v>
      </c>
      <c r="F12" s="13">
        <f t="shared" ca="1" si="10"/>
        <v>17</v>
      </c>
      <c r="G12" s="13">
        <f t="shared" ca="1" si="6"/>
        <v>27</v>
      </c>
      <c r="H12" s="13">
        <f t="shared" ca="1" si="11"/>
        <v>27</v>
      </c>
      <c r="I12" s="13">
        <f t="shared" ca="1" si="7"/>
        <v>33</v>
      </c>
      <c r="J12" s="13">
        <f t="shared" ca="1" si="12"/>
        <v>33</v>
      </c>
      <c r="K12" s="13">
        <f t="shared" ca="1" si="8"/>
        <v>36.700000000000003</v>
      </c>
      <c r="L12" s="13">
        <f t="shared" ca="1" si="13"/>
        <v>37</v>
      </c>
      <c r="M12" s="13">
        <f t="shared" ca="1" si="9"/>
        <v>41</v>
      </c>
      <c r="N12" s="32">
        <f t="shared" ca="1" si="14"/>
        <v>41</v>
      </c>
      <c r="O12" s="3" t="s">
        <v>141</v>
      </c>
      <c r="P12" s="63" t="str">
        <f t="shared" ca="1" si="0"/>
        <v/>
      </c>
      <c r="Q12" s="63" t="str">
        <f t="shared" ca="1" si="1"/>
        <v/>
      </c>
      <c r="R12" s="2" t="s">
        <v>141</v>
      </c>
      <c r="S12" s="24" t="str">
        <f t="shared" ca="1" si="3"/>
        <v/>
      </c>
      <c r="T12" s="24" t="str">
        <f t="shared" ca="1" si="4"/>
        <v/>
      </c>
      <c r="U12" s="4" t="s">
        <v>141</v>
      </c>
    </row>
    <row r="13" spans="1:21" ht="15.6" x14ac:dyDescent="0.3">
      <c r="A13" s="19"/>
      <c r="B13" s="11"/>
      <c r="C13" s="11"/>
      <c r="D13" s="28"/>
      <c r="E13" s="31">
        <f t="shared" ca="1" si="5"/>
        <v>17.899999999999999</v>
      </c>
      <c r="F13" s="13">
        <f t="shared" ca="1" si="10"/>
        <v>18</v>
      </c>
      <c r="G13" s="13">
        <f t="shared" ca="1" si="6"/>
        <v>27</v>
      </c>
      <c r="H13" s="13">
        <f t="shared" ca="1" si="11"/>
        <v>27</v>
      </c>
      <c r="I13" s="13">
        <f t="shared" ca="1" si="7"/>
        <v>33.1</v>
      </c>
      <c r="J13" s="13">
        <f t="shared" ca="1" si="12"/>
        <v>33</v>
      </c>
      <c r="K13" s="13">
        <f t="shared" ca="1" si="8"/>
        <v>37.4</v>
      </c>
      <c r="L13" s="13">
        <f t="shared" ca="1" si="13"/>
        <v>37</v>
      </c>
      <c r="M13" s="13">
        <f t="shared" ca="1" si="9"/>
        <v>41.3</v>
      </c>
      <c r="N13" s="32">
        <f t="shared" ca="1" si="14"/>
        <v>41</v>
      </c>
      <c r="O13" s="21"/>
      <c r="P13" s="63" t="str">
        <f t="shared" ca="1" si="0"/>
        <v/>
      </c>
      <c r="Q13" s="63" t="str">
        <f t="shared" ca="1" si="1"/>
        <v/>
      </c>
      <c r="R13" s="23" t="str">
        <f t="shared" ref="R13:R22" ca="1" si="15">IF($H$176=I124,I124,"")</f>
        <v/>
      </c>
      <c r="S13" s="24" t="str">
        <f t="shared" ca="1" si="3"/>
        <v/>
      </c>
      <c r="T13" s="24" t="str">
        <f t="shared" ca="1" si="4"/>
        <v/>
      </c>
      <c r="U13" s="21"/>
    </row>
    <row r="14" spans="1:21" ht="15.6" x14ac:dyDescent="0.3">
      <c r="A14" s="19"/>
      <c r="B14" s="11"/>
      <c r="C14" s="11"/>
      <c r="D14" s="28"/>
      <c r="E14" s="31">
        <f t="shared" ca="1" si="5"/>
        <v>18</v>
      </c>
      <c r="F14" s="13">
        <f t="shared" ca="1" si="10"/>
        <v>18</v>
      </c>
      <c r="G14" s="13">
        <f t="shared" ca="1" si="6"/>
        <v>27.1</v>
      </c>
      <c r="H14" s="13">
        <f t="shared" ca="1" si="11"/>
        <v>27</v>
      </c>
      <c r="I14" s="13">
        <f t="shared" ca="1" si="7"/>
        <v>33.1</v>
      </c>
      <c r="J14" s="13">
        <f t="shared" ca="1" si="12"/>
        <v>33</v>
      </c>
      <c r="K14" s="13">
        <f t="shared" ca="1" si="8"/>
        <v>37.4</v>
      </c>
      <c r="L14" s="13">
        <f t="shared" ca="1" si="13"/>
        <v>37</v>
      </c>
      <c r="M14" s="13">
        <f t="shared" ca="1" si="9"/>
        <v>42</v>
      </c>
      <c r="N14" s="32">
        <f t="shared" ca="1" si="14"/>
        <v>42</v>
      </c>
      <c r="O14" s="21"/>
      <c r="P14" s="63" t="str">
        <f t="shared" ca="1" si="0"/>
        <v/>
      </c>
      <c r="Q14" s="63" t="str">
        <f t="shared" ca="1" si="1"/>
        <v/>
      </c>
      <c r="R14" s="23" t="str">
        <f t="shared" ca="1" si="15"/>
        <v/>
      </c>
      <c r="S14" s="24" t="str">
        <f t="shared" ca="1" si="3"/>
        <v/>
      </c>
      <c r="T14" s="24" t="str">
        <f t="shared" ca="1" si="4"/>
        <v/>
      </c>
      <c r="U14" s="21"/>
    </row>
    <row r="15" spans="1:21" ht="15.6" x14ac:dyDescent="0.3">
      <c r="A15" s="19"/>
      <c r="B15" s="11"/>
      <c r="C15" s="11"/>
      <c r="D15" s="28"/>
      <c r="E15" s="31">
        <f t="shared" ca="1" si="5"/>
        <v>18.5</v>
      </c>
      <c r="F15" s="13">
        <f t="shared" ca="1" si="10"/>
        <v>19</v>
      </c>
      <c r="G15" s="13">
        <f t="shared" ca="1" si="6"/>
        <v>27.2</v>
      </c>
      <c r="H15" s="13">
        <f t="shared" ca="1" si="11"/>
        <v>27</v>
      </c>
      <c r="I15" s="13">
        <f t="shared" ca="1" si="7"/>
        <v>33.200000000000003</v>
      </c>
      <c r="J15" s="13">
        <f t="shared" ca="1" si="12"/>
        <v>33</v>
      </c>
      <c r="K15" s="13">
        <f t="shared" ca="1" si="8"/>
        <v>37.4</v>
      </c>
      <c r="L15" s="13">
        <f t="shared" ca="1" si="13"/>
        <v>37</v>
      </c>
      <c r="M15" s="13">
        <f t="shared" ca="1" si="9"/>
        <v>42</v>
      </c>
      <c r="N15" s="32">
        <f t="shared" ca="1" si="14"/>
        <v>42</v>
      </c>
      <c r="O15" s="21"/>
      <c r="P15" s="63" t="str">
        <f t="shared" ca="1" si="0"/>
        <v/>
      </c>
      <c r="Q15" s="63" t="str">
        <f t="shared" ca="1" si="1"/>
        <v/>
      </c>
      <c r="R15" s="23" t="str">
        <f t="shared" ca="1" si="15"/>
        <v/>
      </c>
      <c r="S15" s="24" t="str">
        <f t="shared" ca="1" si="3"/>
        <v/>
      </c>
      <c r="T15" s="24" t="str">
        <f t="shared" ca="1" si="4"/>
        <v/>
      </c>
      <c r="U15" s="21"/>
    </row>
    <row r="16" spans="1:21" ht="15.6" x14ac:dyDescent="0.3">
      <c r="A16" s="19"/>
      <c r="B16" s="11"/>
      <c r="C16" s="11"/>
      <c r="D16" s="28"/>
      <c r="E16" s="31">
        <f t="shared" ca="1" si="5"/>
        <v>19.3</v>
      </c>
      <c r="F16" s="13">
        <f t="shared" ca="1" si="10"/>
        <v>19</v>
      </c>
      <c r="G16" s="13">
        <f t="shared" ca="1" si="6"/>
        <v>27.3</v>
      </c>
      <c r="H16" s="13">
        <f t="shared" ca="1" si="11"/>
        <v>27</v>
      </c>
      <c r="I16" s="13">
        <f t="shared" ca="1" si="7"/>
        <v>33.700000000000003</v>
      </c>
      <c r="J16" s="13">
        <f t="shared" ca="1" si="12"/>
        <v>34</v>
      </c>
      <c r="K16" s="13">
        <f t="shared" ca="1" si="8"/>
        <v>37.4</v>
      </c>
      <c r="L16" s="13">
        <f t="shared" ca="1" si="13"/>
        <v>37</v>
      </c>
      <c r="M16" s="13">
        <f t="shared" ca="1" si="9"/>
        <v>42.1</v>
      </c>
      <c r="N16" s="32">
        <f t="shared" ca="1" si="14"/>
        <v>42</v>
      </c>
      <c r="O16" s="21"/>
      <c r="P16" s="63" t="str">
        <f t="shared" ca="1" si="0"/>
        <v/>
      </c>
      <c r="Q16" s="63" t="str">
        <f t="shared" ca="1" si="1"/>
        <v/>
      </c>
      <c r="R16" s="23" t="str">
        <f t="shared" ca="1" si="15"/>
        <v/>
      </c>
      <c r="S16" s="24" t="str">
        <f t="shared" ca="1" si="3"/>
        <v/>
      </c>
      <c r="T16" s="24" t="str">
        <f t="shared" ca="1" si="4"/>
        <v/>
      </c>
      <c r="U16" s="21"/>
    </row>
    <row r="17" spans="1:21" ht="15.6" x14ac:dyDescent="0.3">
      <c r="A17" s="19"/>
      <c r="B17" s="11"/>
      <c r="C17" s="11"/>
      <c r="D17" s="28"/>
      <c r="E17" s="31">
        <f t="shared" ca="1" si="5"/>
        <v>19.899999999999999</v>
      </c>
      <c r="F17" s="13">
        <f t="shared" ca="1" si="10"/>
        <v>20</v>
      </c>
      <c r="G17" s="13">
        <f t="shared" ca="1" si="6"/>
        <v>27.7</v>
      </c>
      <c r="H17" s="13">
        <f t="shared" ca="1" si="11"/>
        <v>28</v>
      </c>
      <c r="I17" s="13">
        <f t="shared" ca="1" si="7"/>
        <v>33.700000000000003</v>
      </c>
      <c r="J17" s="13">
        <f t="shared" ca="1" si="12"/>
        <v>34</v>
      </c>
      <c r="K17" s="13">
        <f t="shared" ca="1" si="8"/>
        <v>37.9</v>
      </c>
      <c r="L17" s="13">
        <f t="shared" ca="1" si="13"/>
        <v>38</v>
      </c>
      <c r="M17" s="13">
        <f t="shared" ca="1" si="9"/>
        <v>42.2</v>
      </c>
      <c r="N17" s="32">
        <f t="shared" ca="1" si="14"/>
        <v>42</v>
      </c>
      <c r="O17" s="21"/>
      <c r="P17" s="63">
        <f t="shared" ca="1" si="0"/>
        <v>23.4</v>
      </c>
      <c r="Q17" s="63" t="str">
        <f t="shared" ca="1" si="1"/>
        <v/>
      </c>
      <c r="R17" s="23" t="str">
        <f t="shared" ca="1" si="15"/>
        <v/>
      </c>
      <c r="S17" s="24" t="str">
        <f t="shared" ca="1" si="3"/>
        <v/>
      </c>
      <c r="T17" s="24" t="str">
        <f t="shared" ca="1" si="4"/>
        <v/>
      </c>
      <c r="U17" s="21"/>
    </row>
    <row r="18" spans="1:21" ht="15.6" x14ac:dyDescent="0.3">
      <c r="A18" s="19"/>
      <c r="B18" s="11"/>
      <c r="C18" s="11"/>
      <c r="D18" s="28"/>
      <c r="E18" s="31">
        <f t="shared" ca="1" si="5"/>
        <v>20.8</v>
      </c>
      <c r="F18" s="13">
        <f t="shared" ca="1" si="10"/>
        <v>21</v>
      </c>
      <c r="G18" s="13">
        <f t="shared" ca="1" si="6"/>
        <v>28.7</v>
      </c>
      <c r="H18" s="13">
        <f t="shared" ca="1" si="11"/>
        <v>29</v>
      </c>
      <c r="I18" s="13">
        <f t="shared" ca="1" si="7"/>
        <v>33.799999999999997</v>
      </c>
      <c r="J18" s="13">
        <f t="shared" ca="1" si="12"/>
        <v>34</v>
      </c>
      <c r="K18" s="13">
        <f t="shared" ca="1" si="8"/>
        <v>38.299999999999997</v>
      </c>
      <c r="L18" s="13">
        <f t="shared" ca="1" si="13"/>
        <v>38</v>
      </c>
      <c r="M18" s="13">
        <f t="shared" ca="1" si="9"/>
        <v>43.9</v>
      </c>
      <c r="N18" s="32">
        <f t="shared" ca="1" si="14"/>
        <v>44</v>
      </c>
      <c r="O18" s="21"/>
      <c r="P18" s="63" t="str">
        <f t="shared" ca="1" si="0"/>
        <v/>
      </c>
      <c r="Q18" s="63" t="str">
        <f t="shared" ca="1" si="1"/>
        <v/>
      </c>
      <c r="R18" s="23" t="str">
        <f t="shared" ca="1" si="15"/>
        <v/>
      </c>
      <c r="S18" s="24" t="str">
        <f t="shared" ca="1" si="3"/>
        <v/>
      </c>
      <c r="T18" s="24" t="str">
        <f t="shared" ca="1" si="4"/>
        <v/>
      </c>
      <c r="U18" s="21"/>
    </row>
    <row r="19" spans="1:21" ht="15.6" x14ac:dyDescent="0.3">
      <c r="A19" s="19"/>
      <c r="B19" s="11"/>
      <c r="C19" s="11"/>
      <c r="D19" s="28"/>
      <c r="E19" s="31">
        <f t="shared" ca="1" si="5"/>
        <v>21.1</v>
      </c>
      <c r="F19" s="13">
        <f t="shared" ca="1" si="10"/>
        <v>21</v>
      </c>
      <c r="G19" s="13">
        <f t="shared" ca="1" si="6"/>
        <v>29</v>
      </c>
      <c r="H19" s="13">
        <f t="shared" ca="1" si="11"/>
        <v>29</v>
      </c>
      <c r="I19" s="13">
        <f t="shared" ca="1" si="7"/>
        <v>33.9</v>
      </c>
      <c r="J19" s="13">
        <f t="shared" ca="1" si="12"/>
        <v>34</v>
      </c>
      <c r="K19" s="13">
        <f t="shared" ca="1" si="8"/>
        <v>38.5</v>
      </c>
      <c r="L19" s="13">
        <f t="shared" ca="1" si="13"/>
        <v>39</v>
      </c>
      <c r="M19" s="13">
        <f t="shared" ca="1" si="9"/>
        <v>44</v>
      </c>
      <c r="N19" s="32">
        <f t="shared" ca="1" si="14"/>
        <v>44</v>
      </c>
      <c r="O19" s="21"/>
      <c r="P19" s="63" t="str">
        <f t="shared" ca="1" si="0"/>
        <v/>
      </c>
      <c r="Q19" s="63" t="str">
        <f t="shared" ca="1" si="1"/>
        <v/>
      </c>
      <c r="R19" s="23" t="str">
        <f t="shared" ca="1" si="15"/>
        <v/>
      </c>
      <c r="S19" s="24" t="str">
        <f t="shared" ca="1" si="3"/>
        <v/>
      </c>
      <c r="T19" s="24" t="str">
        <f t="shared" ca="1" si="4"/>
        <v/>
      </c>
      <c r="U19" s="21"/>
    </row>
    <row r="20" spans="1:21" ht="15.6" x14ac:dyDescent="0.3">
      <c r="A20" s="19"/>
      <c r="B20" s="11"/>
      <c r="C20" s="11"/>
      <c r="D20" s="28"/>
      <c r="E20" s="31">
        <f t="shared" ca="1" si="5"/>
        <v>21.1</v>
      </c>
      <c r="F20" s="13">
        <f t="shared" ca="1" si="10"/>
        <v>21</v>
      </c>
      <c r="G20" s="13">
        <f t="shared" ca="1" si="6"/>
        <v>29.4</v>
      </c>
      <c r="H20" s="13">
        <f t="shared" ca="1" si="11"/>
        <v>29</v>
      </c>
      <c r="I20" s="13">
        <f t="shared" ca="1" si="7"/>
        <v>33.9</v>
      </c>
      <c r="J20" s="13">
        <f t="shared" ca="1" si="12"/>
        <v>34</v>
      </c>
      <c r="K20" s="13">
        <f t="shared" ca="1" si="8"/>
        <v>38.5</v>
      </c>
      <c r="L20" s="13">
        <f t="shared" ca="1" si="13"/>
        <v>39</v>
      </c>
      <c r="M20" s="13">
        <f t="shared" ca="1" si="9"/>
        <v>44.8</v>
      </c>
      <c r="N20" s="32">
        <f t="shared" ca="1" si="14"/>
        <v>45</v>
      </c>
      <c r="O20" s="21"/>
      <c r="P20" s="63" t="str">
        <f t="shared" ca="1" si="0"/>
        <v/>
      </c>
      <c r="Q20" s="63" t="str">
        <f t="shared" ca="1" si="1"/>
        <v/>
      </c>
      <c r="R20" s="23" t="str">
        <f t="shared" ca="1" si="15"/>
        <v/>
      </c>
      <c r="S20" s="24" t="str">
        <f t="shared" ca="1" si="3"/>
        <v/>
      </c>
      <c r="T20" s="24" t="str">
        <f t="shared" ca="1" si="4"/>
        <v/>
      </c>
      <c r="U20" s="21"/>
    </row>
    <row r="21" spans="1:21" ht="16.2" thickBot="1" x14ac:dyDescent="0.35">
      <c r="A21" s="25"/>
      <c r="D21" s="20"/>
      <c r="E21" s="31">
        <f t="shared" ca="1" si="5"/>
        <v>23.4</v>
      </c>
      <c r="F21" s="13">
        <f t="shared" ca="1" si="10"/>
        <v>23</v>
      </c>
      <c r="G21" s="13">
        <f t="shared" ca="1" si="6"/>
        <v>29.7</v>
      </c>
      <c r="H21" s="13">
        <f t="shared" ca="1" si="11"/>
        <v>30</v>
      </c>
      <c r="I21" s="13">
        <f t="shared" ca="1" si="7"/>
        <v>34.1</v>
      </c>
      <c r="J21" s="13">
        <f t="shared" ca="1" si="12"/>
        <v>34</v>
      </c>
      <c r="K21" s="13">
        <f t="shared" ca="1" si="8"/>
        <v>38.700000000000003</v>
      </c>
      <c r="L21" s="13">
        <f t="shared" ca="1" si="13"/>
        <v>39</v>
      </c>
      <c r="M21" s="13">
        <f t="shared" ca="1" si="9"/>
        <v>44.9</v>
      </c>
      <c r="N21" s="32">
        <f t="shared" ca="1" si="14"/>
        <v>45</v>
      </c>
      <c r="O21" s="21"/>
      <c r="P21" s="63" t="str">
        <f t="shared" ca="1" si="0"/>
        <v/>
      </c>
      <c r="Q21" s="63" t="str">
        <f t="shared" ca="1" si="1"/>
        <v/>
      </c>
      <c r="R21" s="23" t="str">
        <f t="shared" ca="1" si="15"/>
        <v/>
      </c>
      <c r="S21" s="24" t="str">
        <f t="shared" ca="1" si="3"/>
        <v/>
      </c>
      <c r="T21" s="24" t="str">
        <f t="shared" ca="1" si="4"/>
        <v/>
      </c>
      <c r="U21" s="21"/>
    </row>
    <row r="22" spans="1:21" ht="16.2" thickBot="1" x14ac:dyDescent="0.35">
      <c r="A22" s="35" t="s">
        <v>142</v>
      </c>
      <c r="B22" s="36">
        <f>'NUR MIT PASSWORT'!$J$20</f>
        <v>1</v>
      </c>
      <c r="C22" s="36">
        <f>ROUND($B$46,2)</f>
        <v>37.79</v>
      </c>
      <c r="D22" s="36">
        <f>'NUR MIT PASSWORT'!$J$21</f>
        <v>50</v>
      </c>
      <c r="E22" s="31">
        <f t="shared" ca="1" si="5"/>
        <v>23.5</v>
      </c>
      <c r="F22" s="13">
        <f t="shared" ca="1" si="10"/>
        <v>24</v>
      </c>
      <c r="G22" s="13">
        <f t="shared" ca="1" si="6"/>
        <v>29.7</v>
      </c>
      <c r="H22" s="13">
        <f t="shared" ca="1" si="11"/>
        <v>30</v>
      </c>
      <c r="I22" s="13">
        <f t="shared" ca="1" si="7"/>
        <v>34.200000000000003</v>
      </c>
      <c r="J22" s="13">
        <f t="shared" ca="1" si="12"/>
        <v>34</v>
      </c>
      <c r="K22" s="13">
        <f t="shared" ca="1" si="8"/>
        <v>39.200000000000003</v>
      </c>
      <c r="L22" s="13">
        <f t="shared" ca="1" si="13"/>
        <v>39</v>
      </c>
      <c r="M22" s="13">
        <f t="shared" ca="1" si="9"/>
        <v>45.6</v>
      </c>
      <c r="N22" s="32">
        <f t="shared" ca="1" si="14"/>
        <v>46</v>
      </c>
      <c r="O22" s="21"/>
      <c r="P22" s="63" t="str">
        <f t="shared" ca="1" si="0"/>
        <v/>
      </c>
      <c r="Q22" s="63" t="str">
        <f t="shared" ca="1" si="1"/>
        <v/>
      </c>
      <c r="R22" s="23" t="str">
        <f t="shared" ca="1" si="15"/>
        <v/>
      </c>
      <c r="S22" s="24" t="str">
        <f t="shared" ca="1" si="3"/>
        <v/>
      </c>
      <c r="T22" s="24" t="str">
        <f t="shared" ca="1" si="4"/>
        <v/>
      </c>
      <c r="U22" s="21"/>
    </row>
    <row r="23" spans="1:21" ht="15" thickBot="1" x14ac:dyDescent="0.35">
      <c r="A23" s="35" t="s">
        <v>55</v>
      </c>
      <c r="B23" s="36">
        <f>'NUR MIT PASSWORT'!$J$22</f>
        <v>1</v>
      </c>
      <c r="C23" s="37"/>
      <c r="D23" s="36">
        <f>'NUR MIT PASSWORT'!$J$23</f>
        <v>50</v>
      </c>
      <c r="E23" s="31">
        <f t="shared" ca="1" si="5"/>
        <v>23.7</v>
      </c>
      <c r="F23" s="13">
        <f t="shared" ca="1" si="10"/>
        <v>24</v>
      </c>
      <c r="G23" s="13">
        <f t="shared" ca="1" si="6"/>
        <v>29.8</v>
      </c>
      <c r="H23" s="13">
        <f t="shared" ca="1" si="11"/>
        <v>30</v>
      </c>
      <c r="I23" s="13">
        <f t="shared" ca="1" si="7"/>
        <v>34.4</v>
      </c>
      <c r="J23" s="13">
        <f t="shared" ca="1" si="12"/>
        <v>34</v>
      </c>
      <c r="K23" s="13">
        <f t="shared" ca="1" si="8"/>
        <v>39.200000000000003</v>
      </c>
      <c r="L23" s="13">
        <f t="shared" ca="1" si="13"/>
        <v>39</v>
      </c>
      <c r="M23" s="13">
        <f t="shared" ca="1" si="9"/>
        <v>46.2</v>
      </c>
      <c r="N23" s="32">
        <f t="shared" ca="1" si="14"/>
        <v>46</v>
      </c>
    </row>
    <row r="24" spans="1:21" ht="15" thickBot="1" x14ac:dyDescent="0.35">
      <c r="A24" s="38" t="s">
        <v>56</v>
      </c>
      <c r="B24" s="13"/>
      <c r="C24" s="13"/>
      <c r="D24" s="32"/>
      <c r="E24" s="31">
        <f t="shared" ca="1" si="5"/>
        <v>25.2</v>
      </c>
      <c r="F24" s="13">
        <f t="shared" ca="1" si="10"/>
        <v>25</v>
      </c>
      <c r="G24" s="13">
        <f t="shared" ca="1" si="6"/>
        <v>30</v>
      </c>
      <c r="H24" s="13">
        <f t="shared" ca="1" si="11"/>
        <v>30</v>
      </c>
      <c r="I24" s="13">
        <f t="shared" ca="1" si="7"/>
        <v>34.799999999999997</v>
      </c>
      <c r="J24" s="13">
        <f t="shared" ca="1" si="12"/>
        <v>35</v>
      </c>
      <c r="K24" s="13">
        <f t="shared" ca="1" si="8"/>
        <v>39.4</v>
      </c>
      <c r="L24" s="13">
        <f t="shared" ca="1" si="13"/>
        <v>39</v>
      </c>
      <c r="M24" s="13">
        <f t="shared" ca="1" si="9"/>
        <v>47</v>
      </c>
      <c r="N24" s="32">
        <f t="shared" ca="1" si="14"/>
        <v>47</v>
      </c>
    </row>
    <row r="25" spans="1:21" ht="15" thickBot="1" x14ac:dyDescent="0.35">
      <c r="A25" s="35" t="s">
        <v>73</v>
      </c>
      <c r="B25" s="39">
        <v>70</v>
      </c>
      <c r="C25" s="37" t="s">
        <v>22</v>
      </c>
      <c r="D25" s="36">
        <f>ROUND(((B34-B35)/(B36-B35))*98+1,2)</f>
        <v>100</v>
      </c>
      <c r="E25" s="31">
        <f t="shared" ca="1" si="5"/>
        <v>25.2</v>
      </c>
      <c r="F25" s="13">
        <f t="shared" ca="1" si="10"/>
        <v>25</v>
      </c>
      <c r="G25" s="13">
        <f t="shared" ca="1" si="6"/>
        <v>30.7</v>
      </c>
      <c r="H25" s="13">
        <f t="shared" ca="1" si="11"/>
        <v>31</v>
      </c>
      <c r="I25" s="13">
        <f t="shared" ca="1" si="7"/>
        <v>34.799999999999997</v>
      </c>
      <c r="J25" s="13">
        <f t="shared" ca="1" si="12"/>
        <v>35</v>
      </c>
      <c r="K25" s="13">
        <f t="shared" ca="1" si="8"/>
        <v>39.9</v>
      </c>
      <c r="L25" s="13">
        <f t="shared" ca="1" si="13"/>
        <v>40</v>
      </c>
      <c r="M25" s="13">
        <f t="shared" ca="1" si="9"/>
        <v>47.9</v>
      </c>
      <c r="N25" s="32">
        <f t="shared" ca="1" si="14"/>
        <v>48</v>
      </c>
    </row>
    <row r="26" spans="1:21" ht="15" thickBot="1" x14ac:dyDescent="0.35">
      <c r="A26" s="35" t="s">
        <v>31</v>
      </c>
      <c r="B26" s="39">
        <v>99</v>
      </c>
      <c r="C26" s="37" t="s">
        <v>21</v>
      </c>
      <c r="D26" s="36">
        <f>ROUND((LN((LN((1-B41)))/-B50))/-B51,2)</f>
        <v>50</v>
      </c>
      <c r="E26" s="40">
        <f t="shared" ca="1" si="5"/>
        <v>25.7</v>
      </c>
      <c r="F26" s="41">
        <f t="shared" ca="1" si="10"/>
        <v>26</v>
      </c>
      <c r="G26" s="41">
        <f t="shared" ca="1" si="6"/>
        <v>30.8</v>
      </c>
      <c r="H26" s="41">
        <f t="shared" ca="1" si="11"/>
        <v>31</v>
      </c>
      <c r="I26" s="41">
        <f t="shared" ca="1" si="7"/>
        <v>34.9</v>
      </c>
      <c r="J26" s="41">
        <f t="shared" ca="1" si="12"/>
        <v>35</v>
      </c>
      <c r="K26" s="41">
        <f t="shared" ca="1" si="8"/>
        <v>40.4</v>
      </c>
      <c r="L26" s="41">
        <f t="shared" ca="1" si="13"/>
        <v>40</v>
      </c>
      <c r="M26" s="41">
        <f t="shared" ca="1" si="9"/>
        <v>48.5</v>
      </c>
      <c r="N26" s="42">
        <f t="shared" ca="1" si="14"/>
        <v>49</v>
      </c>
    </row>
    <row r="27" spans="1:21" x14ac:dyDescent="0.3">
      <c r="A27" s="11"/>
      <c r="B27" s="11">
        <v>1</v>
      </c>
      <c r="C27" s="11">
        <v>1</v>
      </c>
      <c r="D27" s="11">
        <v>1</v>
      </c>
      <c r="G27" s="51"/>
    </row>
    <row r="28" spans="1:21" x14ac:dyDescent="0.3">
      <c r="A28" s="11"/>
      <c r="B28" s="11"/>
      <c r="C28" s="11">
        <v>1</v>
      </c>
      <c r="D28" s="11"/>
      <c r="G28" s="51"/>
    </row>
    <row r="29" spans="1:21" x14ac:dyDescent="0.3">
      <c r="A29" s="11"/>
      <c r="B29" s="11"/>
      <c r="C29" s="11"/>
      <c r="D29" s="11"/>
    </row>
    <row r="30" spans="1:21" x14ac:dyDescent="0.3">
      <c r="A30" s="11"/>
      <c r="B30" s="11"/>
      <c r="C30" s="11"/>
      <c r="D30" s="11"/>
    </row>
    <row r="31" spans="1:21" x14ac:dyDescent="0.3">
      <c r="A31" s="11"/>
      <c r="B31" s="11"/>
      <c r="C31" s="11"/>
      <c r="D31" s="11"/>
    </row>
    <row r="32" spans="1:21" x14ac:dyDescent="0.3">
      <c r="A32" s="11"/>
      <c r="B32" s="11"/>
      <c r="C32" s="11"/>
      <c r="D32" s="11"/>
    </row>
    <row r="33" spans="1:10" x14ac:dyDescent="0.3">
      <c r="A33" s="11" t="s">
        <v>99</v>
      </c>
      <c r="B33" s="11" t="s">
        <v>100</v>
      </c>
      <c r="C33" s="11"/>
      <c r="D33" s="11"/>
      <c r="F33" s="11"/>
    </row>
    <row r="34" spans="1:10" x14ac:dyDescent="0.3">
      <c r="A34" s="11" t="s">
        <v>101</v>
      </c>
      <c r="B34" s="11">
        <f>(1-(EXP((-B50*(EXP(-B51*B25))))))</f>
        <v>1</v>
      </c>
      <c r="C34" s="11"/>
      <c r="D34" s="11"/>
      <c r="F34" s="11"/>
    </row>
    <row r="35" spans="1:10" x14ac:dyDescent="0.3">
      <c r="A35" s="11" t="s">
        <v>102</v>
      </c>
      <c r="B35" s="11">
        <f>(1-(EXP((-B50*(EXP(-B51*K75))))))</f>
        <v>1.0000000000000009E-2</v>
      </c>
      <c r="C35" s="11"/>
      <c r="D35" s="11"/>
      <c r="F35" s="11"/>
    </row>
    <row r="36" spans="1:10" x14ac:dyDescent="0.3">
      <c r="A36" s="11">
        <v>1</v>
      </c>
      <c r="B36" s="11">
        <f>(1-(EXP((-B50*(EXP(-B51*K74))))))</f>
        <v>0.99000097383735119</v>
      </c>
      <c r="C36" s="11"/>
      <c r="D36" s="11"/>
      <c r="E36" s="9" t="s">
        <v>24</v>
      </c>
      <c r="F36" s="11">
        <f>(LN(0.99))/(EXP(-F37*F38))*-1</f>
        <v>8.8689649021333593E-3</v>
      </c>
    </row>
    <row r="37" spans="1:10" x14ac:dyDescent="0.3">
      <c r="A37" s="11"/>
      <c r="B37" s="11"/>
      <c r="C37" s="11"/>
      <c r="D37" s="11"/>
      <c r="E37" s="9" t="s">
        <v>25</v>
      </c>
      <c r="F37" s="11">
        <f>(1.52717+4.60018)/(F38-F39)</f>
        <v>-0.12504795918367348</v>
      </c>
    </row>
    <row r="38" spans="1:10" x14ac:dyDescent="0.3">
      <c r="A38" s="11" t="s">
        <v>104</v>
      </c>
      <c r="B38" s="11"/>
      <c r="C38" s="11"/>
      <c r="D38" s="11"/>
      <c r="E38" s="9" t="s">
        <v>26</v>
      </c>
      <c r="F38" s="11">
        <f>'NUR MIT PASSWORT'!$J$20</f>
        <v>1</v>
      </c>
    </row>
    <row r="39" spans="1:10" x14ac:dyDescent="0.3">
      <c r="A39" s="11" t="s">
        <v>105</v>
      </c>
      <c r="B39" s="11" t="s">
        <v>114</v>
      </c>
      <c r="C39" s="11"/>
      <c r="D39" s="11"/>
      <c r="E39" s="9" t="s">
        <v>27</v>
      </c>
      <c r="F39" s="11">
        <f>'NUR MIT PASSWORT'!$J$21</f>
        <v>50</v>
      </c>
    </row>
    <row r="40" spans="1:10" x14ac:dyDescent="0.3">
      <c r="A40" s="11" t="s">
        <v>107</v>
      </c>
      <c r="B40" s="11" t="s">
        <v>108</v>
      </c>
      <c r="C40" s="11"/>
      <c r="D40" s="11"/>
      <c r="F40" s="11"/>
    </row>
    <row r="41" spans="1:10" x14ac:dyDescent="0.3">
      <c r="A41" s="11" t="s">
        <v>109</v>
      </c>
      <c r="B41" s="11">
        <f>(((B26-1)/98)*(B36-B35)+B35)</f>
        <v>0.99000097383735119</v>
      </c>
      <c r="C41" s="11"/>
      <c r="D41" s="11"/>
      <c r="F41" s="11"/>
    </row>
    <row r="42" spans="1:10" x14ac:dyDescent="0.3">
      <c r="A42" s="11" t="s">
        <v>110</v>
      </c>
      <c r="B42" s="11"/>
      <c r="C42" s="11"/>
      <c r="D42" s="11"/>
      <c r="F42" s="11"/>
    </row>
    <row r="43" spans="1:10" x14ac:dyDescent="0.3">
      <c r="A43" s="11" t="s">
        <v>111</v>
      </c>
      <c r="B43" s="11"/>
      <c r="C43" s="11"/>
      <c r="D43" s="11"/>
      <c r="F43" s="11"/>
    </row>
    <row r="44" spans="1:10" x14ac:dyDescent="0.3">
      <c r="A44" s="11"/>
      <c r="B44" s="11"/>
      <c r="C44" s="11" t="s">
        <v>14</v>
      </c>
      <c r="D44" s="11" t="s">
        <v>15</v>
      </c>
      <c r="E44" s="11" t="s">
        <v>16</v>
      </c>
      <c r="F44" s="11" t="s">
        <v>19</v>
      </c>
      <c r="G44" s="11" t="s">
        <v>37</v>
      </c>
      <c r="H44" s="11" t="s">
        <v>38</v>
      </c>
      <c r="I44" s="11"/>
      <c r="J44" s="11"/>
    </row>
    <row r="45" spans="1:10" x14ac:dyDescent="0.3">
      <c r="A45" s="11" t="s">
        <v>9</v>
      </c>
      <c r="B45" s="11"/>
      <c r="C45" s="11">
        <f>(B54)</f>
        <v>1</v>
      </c>
      <c r="D45" s="11">
        <f>(1-(EXP((-B50*(EXP(-B51*C45))))))*100</f>
        <v>1.0000000000000009</v>
      </c>
      <c r="E45" s="11">
        <f>(-B50*B51*(EXP((C45*-B51+(-B50*EXP(-B51*C45))))))</f>
        <v>1.2442062477149511E-3</v>
      </c>
      <c r="F45" s="11">
        <f>E45/B57</f>
        <v>2.7051515009434715E-2</v>
      </c>
      <c r="G45" s="11"/>
      <c r="H45" s="11"/>
      <c r="I45" s="11"/>
      <c r="J45" s="11">
        <v>2.1933294375846042E-12</v>
      </c>
    </row>
    <row r="46" spans="1:10" x14ac:dyDescent="0.3">
      <c r="A46" s="11" t="s">
        <v>30</v>
      </c>
      <c r="B46" s="11">
        <f>((LN(1/B50)))/-B51</f>
        <v>37.787079587758548</v>
      </c>
      <c r="C46" s="11">
        <f t="shared" ref="C46:C64" si="16">(C45+1*$C$70)</f>
        <v>3.45</v>
      </c>
      <c r="D46" s="11">
        <f>(1-(EXP((-B50*(EXP(-B51*C46))))))*100</f>
        <v>1.3560412763295449</v>
      </c>
      <c r="E46" s="11">
        <f>(-B50*B51*(EXP((C46*-B51+(-B50*EXP(-B51*C46))))))</f>
        <v>1.6841524083910696E-3</v>
      </c>
      <c r="F46" s="11">
        <f>E46/B57</f>
        <v>3.661681834296996E-2</v>
      </c>
      <c r="G46" s="11"/>
      <c r="H46" s="11"/>
      <c r="I46" s="11"/>
      <c r="J46" s="11">
        <v>5.6376974720530211E-7</v>
      </c>
    </row>
    <row r="47" spans="1:10" x14ac:dyDescent="0.3">
      <c r="A47" s="11"/>
      <c r="B47" s="11"/>
      <c r="C47" s="11">
        <f t="shared" si="16"/>
        <v>5.9</v>
      </c>
      <c r="D47" s="11">
        <f>(1-(EXP((-B50*(EXP(-B51*C47))))))*100</f>
        <v>1.8376663654758429</v>
      </c>
      <c r="E47" s="11">
        <f>(-B50*B51*(EXP((C47*-B51+(-B50*EXP(-B51*C47))))))</f>
        <v>2.2767192888083067E-3</v>
      </c>
      <c r="F47" s="11">
        <f>E47/B57</f>
        <v>4.9500399251794683E-2</v>
      </c>
      <c r="G47" s="11"/>
      <c r="H47" s="11"/>
      <c r="I47" s="11"/>
      <c r="J47" s="11">
        <v>1.0430729948270455E-3</v>
      </c>
    </row>
    <row r="48" spans="1:10" x14ac:dyDescent="0.3">
      <c r="A48" s="11"/>
      <c r="B48" s="11"/>
      <c r="C48" s="11">
        <f t="shared" si="16"/>
        <v>8.3500000000000014</v>
      </c>
      <c r="D48" s="11">
        <f>(1-(EXP((-B50*(EXP(-B51*C48))))))*100</f>
        <v>2.4881802459208124</v>
      </c>
      <c r="E48" s="11">
        <f>(-B50*B51*(EXP((C48*-B51+(-B50*EXP(-B51*C48))))))</f>
        <v>3.0723846631828065E-3</v>
      </c>
      <c r="F48" s="11">
        <f>E48/B57</f>
        <v>6.6799744803956257E-2</v>
      </c>
      <c r="G48" s="11"/>
      <c r="H48" s="11"/>
      <c r="I48" s="11"/>
      <c r="J48" s="11">
        <v>9.8051482901951023E-2</v>
      </c>
    </row>
    <row r="49" spans="1:13" x14ac:dyDescent="0.3">
      <c r="A49" s="11"/>
      <c r="B49" s="11"/>
      <c r="C49" s="11">
        <f t="shared" si="16"/>
        <v>10.8</v>
      </c>
      <c r="D49" s="11">
        <f>(1-(EXP((-B50*(EXP(-B51*C49))))))*100</f>
        <v>3.3649907981973093</v>
      </c>
      <c r="E49" s="11">
        <f>(-B50*B51*(EXP((C49*-B51+(-B50*EXP(-B51*C49))))))</f>
        <v>4.1362476581765732E-3</v>
      </c>
      <c r="F49" s="11">
        <f>E49/B57</f>
        <v>8.9930239309919682E-2</v>
      </c>
      <c r="G49" s="11"/>
      <c r="H49" s="11"/>
      <c r="I49" s="11"/>
      <c r="J49" s="11">
        <v>1.5243163421224453</v>
      </c>
    </row>
    <row r="50" spans="1:13" x14ac:dyDescent="0.3">
      <c r="A50" s="64" t="s">
        <v>10</v>
      </c>
      <c r="B50" s="64">
        <f>$F$36</f>
        <v>8.8689649021333593E-3</v>
      </c>
      <c r="C50" s="11">
        <f t="shared" si="16"/>
        <v>13.25</v>
      </c>
      <c r="D50" s="11">
        <f>(1-(EXP((-B50*(EXP(-B51*C50))))))*100</f>
        <v>4.5435050582114389</v>
      </c>
      <c r="E50" s="11">
        <f>(-B50*B51*(EXP((C50*-B51+(-B50*EXP(-B51*C50))))))</f>
        <v>5.5504889210850998E-3</v>
      </c>
      <c r="F50" s="11">
        <f>E50/B57</f>
        <v>0.12067865326523741</v>
      </c>
      <c r="G50" s="11"/>
      <c r="H50" s="11"/>
      <c r="I50" s="11"/>
      <c r="J50" s="11">
        <v>7.993194225532382</v>
      </c>
    </row>
    <row r="51" spans="1:13" x14ac:dyDescent="0.3">
      <c r="A51" s="11" t="s">
        <v>11</v>
      </c>
      <c r="B51" s="11">
        <f>$F$37</f>
        <v>-0.12504795918367348</v>
      </c>
      <c r="C51" s="11">
        <f t="shared" si="16"/>
        <v>15.7</v>
      </c>
      <c r="D51" s="11">
        <f>(1-(EXP((-B50*(EXP(-B51*C51))))))*100</f>
        <v>6.1215038843547287</v>
      </c>
      <c r="E51" s="11">
        <f>(-B50*B51*(EXP((C51*-B51+(-B50*EXP(-B51*C51))))))</f>
        <v>7.4155880362856384E-3</v>
      </c>
      <c r="F51" s="11">
        <f>E51/B57</f>
        <v>0.16122961240211017</v>
      </c>
      <c r="G51" s="11"/>
      <c r="H51" s="11"/>
      <c r="I51" s="11"/>
      <c r="J51" s="11">
        <v>21.74350051690757</v>
      </c>
    </row>
    <row r="52" spans="1:13" x14ac:dyDescent="0.3">
      <c r="A52" s="11"/>
      <c r="B52" s="11"/>
      <c r="C52" s="11">
        <f t="shared" si="16"/>
        <v>18.149999999999999</v>
      </c>
      <c r="D52" s="11">
        <f>(1-(EXP((-B50*(EXP(-B51*C52))))))*100</f>
        <v>8.2234795976887654</v>
      </c>
      <c r="E52" s="11">
        <f>(-B50*B51*(EXP((C52*-B51+(-B50*EXP(-B51*C52))))))</f>
        <v>9.8483794646853674E-3</v>
      </c>
      <c r="F52" s="11">
        <f>E52/B57</f>
        <v>0.21412332995178823</v>
      </c>
      <c r="G52" s="11"/>
      <c r="H52" s="11"/>
      <c r="I52" s="11"/>
      <c r="J52" s="11">
        <v>39.792310024285754</v>
      </c>
    </row>
    <row r="53" spans="1:13" x14ac:dyDescent="0.3">
      <c r="A53" s="11"/>
      <c r="B53" s="11"/>
      <c r="C53" s="11">
        <f t="shared" si="16"/>
        <v>20.599999999999998</v>
      </c>
      <c r="D53" s="11">
        <f>(1-(EXP((-B50*(EXP(-B51*C53))))))*100</f>
        <v>11.003781574171189</v>
      </c>
      <c r="E53" s="11">
        <f>(-B50*B51*(EXP((C53*-B51+(-B50*EXP(-B51*C53))))))</f>
        <v>1.2973538767764303E-2</v>
      </c>
      <c r="F53" s="11">
        <f>E53/B57</f>
        <v>0.28207050024560165</v>
      </c>
      <c r="G53" s="11"/>
      <c r="H53" s="11"/>
      <c r="I53" s="11"/>
      <c r="J53" s="11">
        <v>57.320528447282591</v>
      </c>
    </row>
    <row r="54" spans="1:13" x14ac:dyDescent="0.3">
      <c r="A54" s="11" t="s">
        <v>28</v>
      </c>
      <c r="B54" s="11">
        <f>$F$38</f>
        <v>1</v>
      </c>
      <c r="C54" s="11">
        <f t="shared" si="16"/>
        <v>23.049999999999997</v>
      </c>
      <c r="D54" s="11">
        <f>(1-(EXP((-B50*(EXP(-B51*C54))))))*100</f>
        <v>14.646331089766406</v>
      </c>
      <c r="E54" s="11">
        <f>(-B50*B51*(EXP((C54*-B51+(-B50*EXP(-B51*C54))))))</f>
        <v>1.6902961772516829E-2</v>
      </c>
      <c r="F54" s="11">
        <f>E54/B57</f>
        <v>0.36750396080465336</v>
      </c>
      <c r="G54" s="11"/>
      <c r="H54" s="11"/>
      <c r="I54" s="11"/>
      <c r="J54" s="11">
        <v>71.455946202722359</v>
      </c>
      <c r="M54" s="51"/>
    </row>
    <row r="55" spans="1:13" x14ac:dyDescent="0.3">
      <c r="A55" s="11" t="s">
        <v>29</v>
      </c>
      <c r="B55" s="11">
        <f>$F$39</f>
        <v>50</v>
      </c>
      <c r="C55" s="11">
        <f t="shared" si="16"/>
        <v>25.499999999999996</v>
      </c>
      <c r="D55" s="11">
        <f>(1-(EXP((-B50*(EXP(-B51*C55))))))*100</f>
        <v>19.357009246469438</v>
      </c>
      <c r="E55" s="11">
        <f>(-B50*B51*(EXP((C55*-B51+(-B50*EXP(-B51*C55))))))</f>
        <v>2.1695065009719825E-2</v>
      </c>
      <c r="F55" s="11">
        <f>E55/B57</f>
        <v>0.4716938030322072</v>
      </c>
      <c r="G55" s="11"/>
      <c r="H55" s="11"/>
      <c r="I55" s="11"/>
      <c r="J55" s="11">
        <v>81.630163458700238</v>
      </c>
    </row>
    <row r="56" spans="1:13" x14ac:dyDescent="0.3">
      <c r="A56" s="11" t="s">
        <v>13</v>
      </c>
      <c r="B56" s="11">
        <f>(LN(((LN(0.5))/-B50)))/-B51</f>
        <v>34.856100761920047</v>
      </c>
      <c r="C56" s="11">
        <f t="shared" si="16"/>
        <v>27.949999999999996</v>
      </c>
      <c r="D56" s="11">
        <f>(1-(EXP((-B50*(EXP(-B51*C56))))))*100</f>
        <v>25.34266317916487</v>
      </c>
      <c r="E56" s="11">
        <f>(-B50*B51*(EXP((C56*-B51+(-B50*EXP(-B51*C56))))))</f>
        <v>2.7284785155269078E-2</v>
      </c>
      <c r="F56" s="11">
        <f>E56/B57</f>
        <v>0.59322542103651388</v>
      </c>
      <c r="G56" s="11"/>
      <c r="H56" s="11"/>
      <c r="I56" s="11"/>
      <c r="J56" s="11">
        <v>88.463626748547</v>
      </c>
    </row>
    <row r="57" spans="1:13" x14ac:dyDescent="0.3">
      <c r="A57" s="11" t="s">
        <v>17</v>
      </c>
      <c r="B57" s="11">
        <f>'FALL 2'!$B$57</f>
        <v>4.599395809369683E-2</v>
      </c>
      <c r="C57" s="11">
        <f t="shared" si="16"/>
        <v>30.399999999999995</v>
      </c>
      <c r="D57" s="11">
        <f>(1-(EXP((-B50*(EXP(-B51*C57))))))*100</f>
        <v>32.768726722255813</v>
      </c>
      <c r="E57" s="11">
        <f>(-B50*B51*(EXP((C57*-B51+(-B50*EXP(-B51*C57))))))</f>
        <v>3.3378982647232616E-2</v>
      </c>
      <c r="F57" s="11">
        <f>E57/B57</f>
        <v>0.72572537852111896</v>
      </c>
      <c r="G57" s="11"/>
      <c r="H57" s="11"/>
      <c r="I57" s="11"/>
      <c r="J57" s="11">
        <v>92.864578739800635</v>
      </c>
    </row>
    <row r="58" spans="1:13" x14ac:dyDescent="0.3">
      <c r="A58" s="11"/>
      <c r="B58" s="11"/>
      <c r="C58" s="11">
        <f t="shared" si="16"/>
        <v>32.849999999999994</v>
      </c>
      <c r="D58" s="11">
        <f>(1-(EXP((-B50*(EXP(-B51*C58))))))*100</f>
        <v>41.687876395227519</v>
      </c>
      <c r="E58" s="11">
        <f>(-B50*B51*(EXP((C58*-B51+(-B50*EXP(-B51*C58))))))</f>
        <v>3.9329129313102507E-2</v>
      </c>
      <c r="F58" s="11">
        <f>E58/B57</f>
        <v>0.85509338493945153</v>
      </c>
      <c r="G58" s="11"/>
      <c r="H58" s="11"/>
      <c r="I58" s="11"/>
      <c r="J58" s="11">
        <v>95.627760799466643</v>
      </c>
    </row>
    <row r="59" spans="1:13" x14ac:dyDescent="0.3">
      <c r="A59" s="11"/>
      <c r="B59" s="11"/>
      <c r="C59" s="11">
        <f t="shared" si="16"/>
        <v>35.299999999999997</v>
      </c>
      <c r="D59" s="11">
        <f>(1-(EXP((-B50*(EXP(-B51*C59))))))*100</f>
        <v>51.939558959923495</v>
      </c>
      <c r="E59" s="11">
        <f>(-B50*B51*(EXP((C59*-B51+(-B50*EXP(-B51*C59))))))</f>
        <v>4.4034892523722349E-2</v>
      </c>
      <c r="F59" s="11">
        <f>E59/B57</f>
        <v>0.95740602350457515</v>
      </c>
      <c r="G59" s="11"/>
      <c r="H59" s="11"/>
      <c r="I59" s="11"/>
      <c r="J59" s="11">
        <v>97.336170553322347</v>
      </c>
    </row>
    <row r="60" spans="1:13" x14ac:dyDescent="0.3">
      <c r="A60" s="11"/>
      <c r="B60" s="11"/>
      <c r="C60" s="11">
        <f t="shared" si="16"/>
        <v>37.75</v>
      </c>
      <c r="D60" s="11">
        <f>(1-(EXP((-B50*(EXP(-B51*C60))))))*100</f>
        <v>63.041480847810384</v>
      </c>
      <c r="E60" s="11">
        <f>(-B50*B51*(EXP((C60*-B51+(-B50*EXP(-B51*C60))))))</f>
        <v>4.6002079600114279E-2</v>
      </c>
      <c r="F60" s="11">
        <f>E60/B57</f>
        <v>1.0001765776800706</v>
      </c>
      <c r="G60" s="11"/>
      <c r="H60" s="11"/>
      <c r="I60" s="11"/>
      <c r="J60" s="11">
        <v>98.382662943111455</v>
      </c>
    </row>
    <row r="61" spans="1:13" x14ac:dyDescent="0.3">
      <c r="A61" s="11"/>
      <c r="B61" s="11"/>
      <c r="C61" s="11">
        <f t="shared" si="16"/>
        <v>40.200000000000003</v>
      </c>
      <c r="D61" s="11">
        <f>(1-(EXP((-B50*(EXP(-B51*C61))))))*100</f>
        <v>74.132869864675072</v>
      </c>
      <c r="E61" s="11">
        <f>(-B50*B51*(EXP((C61*-B51+(-B50*EXP(-B51*C61))))))</f>
        <v>4.3738598817573721E-2</v>
      </c>
      <c r="F61" s="11">
        <f>E61/B57</f>
        <v>0.95096400984823715</v>
      </c>
      <c r="G61" s="11"/>
      <c r="H61" s="11"/>
      <c r="I61" s="11"/>
      <c r="J61" s="11">
        <v>99.020103457515162</v>
      </c>
    </row>
    <row r="62" spans="1:13" x14ac:dyDescent="0.3">
      <c r="A62" s="11"/>
      <c r="B62" s="11"/>
      <c r="C62" s="11">
        <f t="shared" si="16"/>
        <v>42.650000000000006</v>
      </c>
      <c r="D62" s="11">
        <f>(1-(EXP((-B50*(EXP(-B51*C62))))))*100</f>
        <v>84.069500824911913</v>
      </c>
      <c r="E62" s="11">
        <f>(-B50*B51*(EXP((C62*-B51+(-B50*EXP(-B51*C62))))))</f>
        <v>3.6593143375510347E-2</v>
      </c>
      <c r="F62" s="11">
        <f>E62/B57</f>
        <v>0.79560761656921186</v>
      </c>
      <c r="G62" s="11"/>
      <c r="H62" s="11"/>
      <c r="I62" s="11"/>
      <c r="J62" s="11">
        <v>99.407065946329183</v>
      </c>
    </row>
    <row r="63" spans="1:13" x14ac:dyDescent="0.3">
      <c r="A63" s="11"/>
      <c r="B63" s="11"/>
      <c r="C63" s="11">
        <f t="shared" si="16"/>
        <v>45.100000000000009</v>
      </c>
      <c r="D63" s="11">
        <f>(1-(EXP((-B50*(EXP(-B51*C63))))))*100</f>
        <v>91.753998451657054</v>
      </c>
      <c r="E63" s="11">
        <f>(-B50*B51*(EXP((C63*-B51+(-B50*EXP(-B51*C63))))))</f>
        <v>2.5731639572549717E-2</v>
      </c>
      <c r="F63" s="11">
        <f>E63/B57</f>
        <v>0.55945695128326145</v>
      </c>
      <c r="G63" s="11"/>
      <c r="H63" s="11"/>
      <c r="I63" s="11"/>
      <c r="J63" s="11">
        <v>99.641492855133279</v>
      </c>
    </row>
    <row r="64" spans="1:13" x14ac:dyDescent="0.3">
      <c r="A64" s="11"/>
      <c r="B64" s="11"/>
      <c r="C64" s="11">
        <f t="shared" si="16"/>
        <v>47.550000000000011</v>
      </c>
      <c r="D64" s="11">
        <f>(1-(EXP((-B50*(EXP(-B51*C64))))))*100</f>
        <v>96.629170612072272</v>
      </c>
      <c r="E64" s="11">
        <f>(-B50*B51*(EXP((C64*-B51+(-B50*EXP(-B51*C64))))))</f>
        <v>1.42894177764307E-2</v>
      </c>
      <c r="F64" s="64">
        <f>E64/B57</f>
        <v>0.31068032343119806</v>
      </c>
      <c r="G64" s="11"/>
      <c r="H64" s="11"/>
      <c r="I64" s="11"/>
      <c r="J64" s="11">
        <v>99.783335925029618</v>
      </c>
    </row>
    <row r="65" spans="1:24" x14ac:dyDescent="0.3">
      <c r="A65" s="11"/>
      <c r="B65" s="11"/>
      <c r="C65" s="11">
        <f>(B55)</f>
        <v>50</v>
      </c>
      <c r="D65" s="11">
        <f>(1-(EXP((-B50*(EXP(-B51*C65))))))*100</f>
        <v>99.000097383735124</v>
      </c>
      <c r="E65" s="11">
        <f>(-B50*B51*(EXP((C65*-B51+(-B50*EXP(-B51*C65))))))</f>
        <v>5.7582323040328591E-3</v>
      </c>
      <c r="F65" s="11">
        <f>E65/B57</f>
        <v>0.12519540702068838</v>
      </c>
      <c r="G65" s="11"/>
      <c r="H65" s="11"/>
      <c r="I65" s="11"/>
      <c r="J65" s="11">
        <v>99.869095750408022</v>
      </c>
    </row>
    <row r="66" spans="1:24" x14ac:dyDescent="0.3">
      <c r="A66" s="11"/>
      <c r="B66" s="11" t="s">
        <v>35</v>
      </c>
      <c r="C66" s="64">
        <f>'NUR MIT PASSWORT'!$J$22</f>
        <v>1</v>
      </c>
      <c r="D66" s="64"/>
      <c r="E66" s="11"/>
      <c r="F66" s="11"/>
      <c r="G66" s="11">
        <v>0</v>
      </c>
      <c r="H66" s="11"/>
      <c r="I66" s="11"/>
      <c r="J66" s="11"/>
    </row>
    <row r="67" spans="1:24" x14ac:dyDescent="0.3">
      <c r="A67" s="11"/>
      <c r="B67" s="11" t="s">
        <v>35</v>
      </c>
      <c r="C67" s="64">
        <f>'NUR MIT PASSWORT'!$J$22</f>
        <v>1</v>
      </c>
      <c r="D67" s="64"/>
      <c r="E67" s="11"/>
      <c r="F67" s="11"/>
      <c r="G67" s="11">
        <v>99</v>
      </c>
      <c r="H67" s="11"/>
      <c r="I67" s="11"/>
      <c r="J67" s="11"/>
    </row>
    <row r="68" spans="1:24" x14ac:dyDescent="0.3">
      <c r="A68" s="11"/>
      <c r="B68" s="11" t="s">
        <v>36</v>
      </c>
      <c r="C68" s="64">
        <f>'NUR MIT PASSWORT'!$J$23</f>
        <v>50</v>
      </c>
      <c r="D68" s="64"/>
      <c r="E68" s="11"/>
      <c r="F68" s="11"/>
      <c r="G68" s="11"/>
      <c r="H68" s="11">
        <v>0</v>
      </c>
      <c r="I68" s="11"/>
      <c r="J68" s="11"/>
    </row>
    <row r="69" spans="1:24" x14ac:dyDescent="0.3">
      <c r="A69" s="11"/>
      <c r="B69" s="11" t="s">
        <v>36</v>
      </c>
      <c r="C69" s="11">
        <f>'NUR MIT PASSWORT'!$J$23</f>
        <v>50</v>
      </c>
      <c r="D69" s="11"/>
      <c r="E69" s="11"/>
      <c r="F69" s="11"/>
      <c r="G69" s="11"/>
      <c r="H69" s="11">
        <v>99</v>
      </c>
      <c r="I69" s="11"/>
      <c r="J69" s="11"/>
    </row>
    <row r="70" spans="1:24" x14ac:dyDescent="0.3">
      <c r="A70" s="11"/>
      <c r="B70" s="11"/>
      <c r="C70" s="11">
        <f>(C65-C45)/20</f>
        <v>2.4500000000000002</v>
      </c>
      <c r="D70" s="11"/>
      <c r="E70" s="11"/>
      <c r="F70" s="11"/>
      <c r="G70" s="11"/>
      <c r="H70" s="11"/>
      <c r="I70" s="11"/>
      <c r="J70" s="11"/>
    </row>
    <row r="71" spans="1:24" x14ac:dyDescent="0.3">
      <c r="A71" s="11"/>
      <c r="B71" s="11"/>
      <c r="C71" s="11"/>
      <c r="D71" s="11"/>
      <c r="E71" s="11"/>
      <c r="F71" s="11"/>
      <c r="G71" s="11"/>
      <c r="H71" s="11"/>
      <c r="I71" s="11"/>
      <c r="J71" s="11"/>
      <c r="K71" s="11"/>
      <c r="L71" s="11"/>
      <c r="M71" s="11"/>
      <c r="N71" s="11"/>
      <c r="O71" s="11"/>
      <c r="P71" s="11"/>
      <c r="Q71" s="11"/>
      <c r="R71" s="11"/>
      <c r="S71" s="11"/>
      <c r="T71" s="11"/>
      <c r="U71" s="11"/>
      <c r="V71" s="11"/>
    </row>
    <row r="72" spans="1:24" x14ac:dyDescent="0.3">
      <c r="A72" s="11"/>
      <c r="B72" s="11"/>
      <c r="C72" s="11"/>
      <c r="D72" s="11"/>
      <c r="E72" s="11" t="s">
        <v>82</v>
      </c>
      <c r="F72" s="11"/>
      <c r="G72" s="11"/>
      <c r="H72" s="11"/>
      <c r="I72" s="11" t="s">
        <v>83</v>
      </c>
      <c r="J72" s="11"/>
      <c r="K72" s="11"/>
      <c r="L72" s="11"/>
      <c r="M72" s="148"/>
      <c r="N72" s="148"/>
      <c r="O72" s="148"/>
      <c r="P72" s="148"/>
      <c r="Q72" s="148"/>
      <c r="R72" s="148"/>
      <c r="S72" s="149"/>
      <c r="T72" s="149"/>
      <c r="U72" s="149"/>
      <c r="V72" s="149"/>
    </row>
    <row r="73" spans="1:24" x14ac:dyDescent="0.3">
      <c r="A73" s="11" t="str">
        <f>'FALL 2'!A73</f>
        <v>Zufall gleichverteilt</v>
      </c>
      <c r="B73" s="11" t="str">
        <f>'FALL 2'!B73</f>
        <v>gleichverteilt geordnet</v>
      </c>
      <c r="C73" s="11" t="str">
        <f>'FALL 2'!C73</f>
        <v>ZZ</v>
      </c>
      <c r="D73" s="11" t="s">
        <v>76</v>
      </c>
      <c r="E73" s="11"/>
      <c r="F73" s="11" t="s">
        <v>80</v>
      </c>
      <c r="G73" s="11" t="s">
        <v>81</v>
      </c>
      <c r="H73" s="11"/>
      <c r="I73" s="11" t="s">
        <v>79</v>
      </c>
      <c r="J73" s="11"/>
      <c r="K73" s="11"/>
      <c r="L73" s="11"/>
      <c r="M73" s="11"/>
      <c r="N73" s="11"/>
      <c r="O73" s="11"/>
      <c r="P73" s="11"/>
      <c r="Q73" s="11"/>
      <c r="R73" s="11"/>
      <c r="S73" s="11"/>
      <c r="T73" s="11"/>
      <c r="U73" s="11"/>
      <c r="V73" s="11"/>
      <c r="W73" s="11"/>
      <c r="X73" s="44"/>
    </row>
    <row r="74" spans="1:24" x14ac:dyDescent="0.3">
      <c r="A74" s="11">
        <f ca="1">'FALL 2'!A74</f>
        <v>28.040272016733912</v>
      </c>
      <c r="B74" s="11">
        <f ca="1">'FALL 2'!B74</f>
        <v>2.3210931377733552</v>
      </c>
      <c r="C74" s="11">
        <v>1</v>
      </c>
      <c r="D74" s="11">
        <f ca="1">IF(C74=0,"",(B74*0.01*(K77-K78)+K78))</f>
        <v>3.2746735353850824</v>
      </c>
      <c r="E74" s="11"/>
      <c r="F74" s="11">
        <f ca="1">IF(D74="","",(LN((LN((1-D74/100)))/-B50)/-B51))</f>
        <v>10.578712797762185</v>
      </c>
      <c r="G74" s="11">
        <f t="shared" ref="G74:G137" ca="1" si="17">D74</f>
        <v>3.2746735353850824</v>
      </c>
      <c r="H74" s="50" t="str">
        <f ca="1">IF(I176=C74,I74,"")</f>
        <v/>
      </c>
      <c r="I74" s="11">
        <f t="shared" ref="I74:I137" ca="1" si="18">IF(F74="","",ROUND(F74,1))</f>
        <v>10.6</v>
      </c>
      <c r="J74" s="13" t="s">
        <v>74</v>
      </c>
      <c r="K74" s="13">
        <f>'NUR MIT PASSWORT'!$J$23</f>
        <v>50</v>
      </c>
      <c r="L74" s="11"/>
      <c r="M74" s="11"/>
      <c r="N74" s="11"/>
      <c r="O74" s="11"/>
      <c r="Q74" s="11"/>
      <c r="R74" s="11"/>
      <c r="S74" s="11"/>
      <c r="T74" s="11"/>
      <c r="U74" s="11"/>
      <c r="V74" s="11"/>
      <c r="X74" s="11"/>
    </row>
    <row r="75" spans="1:24" x14ac:dyDescent="0.3">
      <c r="A75" s="11">
        <f ca="1">'FALL 2'!A75</f>
        <v>14.49379961208353</v>
      </c>
      <c r="B75" s="11">
        <f ca="1">'FALL 2'!B75</f>
        <v>3.6181460197162254</v>
      </c>
      <c r="C75" s="11">
        <f>(C74+1)</f>
        <v>2</v>
      </c>
      <c r="D75" s="11">
        <f ca="1">IF(C75=0,"",(B75*0.01*(K77-K78)+K78))</f>
        <v>4.545786622807638</v>
      </c>
      <c r="E75" s="11"/>
      <c r="F75" s="11">
        <f ca="1">IF(D75="","",(LN((LN((1-D75/100)))/-B50)/-B51))</f>
        <v>13.254109558094942</v>
      </c>
      <c r="G75" s="11">
        <f t="shared" ca="1" si="17"/>
        <v>4.545786622807638</v>
      </c>
      <c r="H75" s="50" t="str">
        <f ca="1">IF(I176=C75,I75,"")</f>
        <v/>
      </c>
      <c r="I75" s="11">
        <f t="shared" ca="1" si="18"/>
        <v>13.3</v>
      </c>
      <c r="J75" s="13" t="s">
        <v>75</v>
      </c>
      <c r="K75" s="13">
        <f>'NUR MIT PASSWORT'!$J$22</f>
        <v>1</v>
      </c>
      <c r="L75" s="11"/>
      <c r="M75" s="11"/>
      <c r="N75" s="11"/>
      <c r="O75" s="11"/>
      <c r="Q75" s="11"/>
      <c r="R75" s="11"/>
      <c r="S75" s="11"/>
      <c r="T75" s="11"/>
      <c r="U75" s="11"/>
      <c r="V75" s="11"/>
      <c r="X75" s="11"/>
    </row>
    <row r="76" spans="1:24" x14ac:dyDescent="0.3">
      <c r="A76" s="11">
        <f ca="1">'FALL 2'!A76</f>
        <v>30.928527190486321</v>
      </c>
      <c r="B76" s="11">
        <f ca="1">'FALL 2'!B76</f>
        <v>3.6249997631134772</v>
      </c>
      <c r="C76" s="11">
        <f t="shared" ref="C76:C139" si="19">(C75+1)</f>
        <v>3</v>
      </c>
      <c r="D76" s="11">
        <f ca="1">IF(C76=0,"",(B76*0.01*(K77-K78)+K78))</f>
        <v>4.5525032980113771</v>
      </c>
      <c r="E76" s="11"/>
      <c r="F76" s="11">
        <f ca="1">IF(D76="","",(LN((LN((1-D76/100)))/-B50)/-B51))</f>
        <v>13.266195968979307</v>
      </c>
      <c r="G76" s="11">
        <f t="shared" ca="1" si="17"/>
        <v>4.5525032980113771</v>
      </c>
      <c r="H76" s="50" t="str">
        <f ca="1">IF(I176=C76,I76,"")</f>
        <v/>
      </c>
      <c r="I76" s="11">
        <f t="shared" ca="1" si="18"/>
        <v>13.3</v>
      </c>
      <c r="J76" s="13"/>
      <c r="K76" s="13"/>
      <c r="L76" s="11"/>
      <c r="M76" s="11"/>
      <c r="N76" s="11"/>
      <c r="O76" s="11"/>
      <c r="Q76" s="11"/>
      <c r="R76" s="11"/>
      <c r="S76" s="11"/>
      <c r="T76" s="11"/>
      <c r="U76" s="11"/>
      <c r="V76" s="11"/>
      <c r="X76" s="11"/>
    </row>
    <row r="77" spans="1:24" x14ac:dyDescent="0.3">
      <c r="A77" s="11">
        <f ca="1">'FALL 2'!A77</f>
        <v>75.576022612968487</v>
      </c>
      <c r="B77" s="11">
        <f ca="1">'FALL 2'!B77</f>
        <v>4.3786339455653129</v>
      </c>
      <c r="C77" s="11">
        <f t="shared" si="19"/>
        <v>4</v>
      </c>
      <c r="D77" s="11">
        <f ca="1">IF(C77=0,"",(B77*0.01*(K77-K78)+K78))</f>
        <v>5.2910655307312906</v>
      </c>
      <c r="E77" s="11"/>
      <c r="F77" s="11">
        <f ca="1">IF(D77="","",(LN((LN((1-D77/100)))/-B50)/-B51))</f>
        <v>14.499272542168137</v>
      </c>
      <c r="G77" s="11">
        <f t="shared" ca="1" si="17"/>
        <v>5.2910655307312906</v>
      </c>
      <c r="H77" s="50" t="str">
        <f ca="1">IF(I176=C77,I77,"")</f>
        <v/>
      </c>
      <c r="I77" s="11">
        <f t="shared" ca="1" si="18"/>
        <v>14.5</v>
      </c>
      <c r="J77" s="13" t="s">
        <v>77</v>
      </c>
      <c r="K77" s="13">
        <f>(1-(EXP((-B50*(EXP(-B51*K74))))))*100</f>
        <v>99.000097383735124</v>
      </c>
      <c r="L77" s="11"/>
      <c r="M77" s="11"/>
      <c r="N77" s="11"/>
      <c r="Q77" s="11"/>
      <c r="R77" s="11"/>
      <c r="S77" s="11"/>
      <c r="T77" s="11"/>
      <c r="U77" s="11"/>
      <c r="V77" s="11"/>
      <c r="X77" s="11"/>
    </row>
    <row r="78" spans="1:24" x14ac:dyDescent="0.3">
      <c r="A78" s="11">
        <f ca="1">'FALL 2'!A78</f>
        <v>7.7325278885367439</v>
      </c>
      <c r="B78" s="11">
        <f ca="1">'FALL 2'!B78</f>
        <v>5.7089520016855859</v>
      </c>
      <c r="C78" s="11">
        <f t="shared" si="19"/>
        <v>5</v>
      </c>
      <c r="D78" s="11">
        <f ca="1">IF(C78=0,"",(B78*0.01*(K77-K78)+K78))</f>
        <v>6.5947785212425707</v>
      </c>
      <c r="E78" s="11"/>
      <c r="F78" s="11">
        <f ca="1">IF(D78="","",(LN((LN((1-D78/100)))/-B50)/-B51))</f>
        <v>16.315522144087197</v>
      </c>
      <c r="G78" s="11">
        <f t="shared" ca="1" si="17"/>
        <v>6.5947785212425707</v>
      </c>
      <c r="H78" s="50" t="str">
        <f ca="1">IF(I176=C78,I78,"")</f>
        <v/>
      </c>
      <c r="I78" s="11">
        <f t="shared" ca="1" si="18"/>
        <v>16.3</v>
      </c>
      <c r="J78" s="13" t="s">
        <v>78</v>
      </c>
      <c r="K78" s="13">
        <f>(1-(EXP((-B50*(EXP(-B51*K75))))))*100</f>
        <v>1.0000000000000009</v>
      </c>
      <c r="L78" s="11"/>
      <c r="M78" s="11"/>
      <c r="N78" s="11"/>
      <c r="Q78" s="11"/>
      <c r="R78" s="11"/>
      <c r="S78" s="11"/>
      <c r="T78" s="11"/>
      <c r="U78" s="11"/>
      <c r="V78" s="11"/>
      <c r="X78" s="11"/>
    </row>
    <row r="79" spans="1:24" x14ac:dyDescent="0.3">
      <c r="A79" s="11">
        <f ca="1">'FALL 2'!A79</f>
        <v>66.060567090885314</v>
      </c>
      <c r="B79" s="11">
        <f ca="1">'FALL 2'!B79</f>
        <v>6.0767745995305233</v>
      </c>
      <c r="C79" s="11">
        <f t="shared" si="19"/>
        <v>6</v>
      </c>
      <c r="D79" s="11">
        <f ca="1">IF(C79=0,"",(B79*0.01*(K77-K78)+K78))</f>
        <v>6.9552450253299938</v>
      </c>
      <c r="E79" s="11"/>
      <c r="F79" s="11">
        <f ca="1">IF(D79="","",(LN((LN((1-D79/100)))/-B50)/-B51))</f>
        <v>16.756381521656341</v>
      </c>
      <c r="G79" s="11">
        <f t="shared" ca="1" si="17"/>
        <v>6.9552450253299938</v>
      </c>
      <c r="H79" s="50" t="str">
        <f ca="1">IF(I176=C79,I79,"")</f>
        <v/>
      </c>
      <c r="I79" s="11">
        <f t="shared" ca="1" si="18"/>
        <v>16.8</v>
      </c>
      <c r="J79" s="11"/>
      <c r="K79" s="11"/>
      <c r="L79" s="11"/>
      <c r="M79" s="11"/>
      <c r="N79" s="11"/>
      <c r="Q79" s="11"/>
      <c r="R79" s="11"/>
      <c r="S79" s="11"/>
      <c r="T79" s="11"/>
      <c r="U79" s="11"/>
      <c r="V79" s="11"/>
      <c r="X79" s="11"/>
    </row>
    <row r="80" spans="1:24" x14ac:dyDescent="0.3">
      <c r="A80" s="11">
        <f ca="1">'FALL 2'!A80</f>
        <v>22.402120716537858</v>
      </c>
      <c r="B80" s="11">
        <f ca="1">'FALL 2'!B80</f>
        <v>7.1222617714573033</v>
      </c>
      <c r="C80" s="11">
        <f t="shared" si="19"/>
        <v>7</v>
      </c>
      <c r="D80" s="11">
        <f ca="1">IF(C80=0,"",(B80*0.01*(K77-K78)+K78))</f>
        <v>7.979823471952697</v>
      </c>
      <c r="E80" s="11"/>
      <c r="F80" s="11">
        <f ca="1">IF(D80="","",(LN((LN((1-D80/100)))/-B50)/-B51))</f>
        <v>17.89902303922328</v>
      </c>
      <c r="G80" s="11">
        <f t="shared" ca="1" si="17"/>
        <v>7.979823471952697</v>
      </c>
      <c r="H80" s="50" t="str">
        <f ca="1">IF(I176=C80,I80,"")</f>
        <v/>
      </c>
      <c r="I80" s="11">
        <f t="shared" ca="1" si="18"/>
        <v>17.899999999999999</v>
      </c>
      <c r="J80" s="11"/>
      <c r="K80" s="11"/>
      <c r="L80" s="11"/>
      <c r="M80" s="11"/>
      <c r="N80" s="11"/>
      <c r="Q80" s="11"/>
      <c r="R80" s="11"/>
      <c r="S80" s="11"/>
      <c r="T80" s="11"/>
      <c r="U80" s="11"/>
      <c r="V80" s="11"/>
      <c r="X80" s="11"/>
    </row>
    <row r="81" spans="1:24" x14ac:dyDescent="0.3">
      <c r="A81" s="11">
        <f ca="1">'FALL 2'!A81</f>
        <v>42.764662812604882</v>
      </c>
      <c r="B81" s="11">
        <f ca="1">'FALL 2'!B81</f>
        <v>7.236393778707586</v>
      </c>
      <c r="C81" s="11">
        <f t="shared" si="19"/>
        <v>8</v>
      </c>
      <c r="D81" s="11">
        <f ca="1">IF(C81=0,"",(B81*0.01*(K77-K78)+K78))</f>
        <v>8.0916729502039857</v>
      </c>
      <c r="E81" s="11"/>
      <c r="F81" s="11">
        <f ca="1">IF(D81="","",(LN((LN((1-D81/100)))/-B50)/-B51))</f>
        <v>18.015129186590546</v>
      </c>
      <c r="G81" s="11">
        <f t="shared" ca="1" si="17"/>
        <v>8.0916729502039857</v>
      </c>
      <c r="H81" s="50" t="str">
        <f ca="1">IF(I176=C81,I81,"")</f>
        <v/>
      </c>
      <c r="I81" s="11">
        <f t="shared" ca="1" si="18"/>
        <v>18</v>
      </c>
      <c r="J81" s="11"/>
      <c r="K81" s="11"/>
      <c r="L81" s="11"/>
      <c r="M81" s="11"/>
      <c r="N81" s="11"/>
      <c r="Q81" s="11"/>
      <c r="R81" s="11"/>
      <c r="S81" s="11"/>
      <c r="T81" s="11"/>
      <c r="U81" s="11"/>
      <c r="V81" s="11"/>
      <c r="X81" s="11"/>
    </row>
    <row r="82" spans="1:24" x14ac:dyDescent="0.3">
      <c r="A82" s="11">
        <f ca="1">'FALL 2'!A82</f>
        <v>33.68582618215472</v>
      </c>
      <c r="B82" s="11">
        <f ca="1">'FALL 2'!B82</f>
        <v>7.7325278885367439</v>
      </c>
      <c r="C82" s="11">
        <f t="shared" si="19"/>
        <v>9</v>
      </c>
      <c r="D82" s="11">
        <f ca="1">IF(C82=0,"",(B82*0.01*(K77-K78)+K78))</f>
        <v>8.577884860990487</v>
      </c>
      <c r="E82" s="11"/>
      <c r="F82" s="11">
        <f ca="1">IF(D82="","",(LN((LN((1-D82/100)))/-B50)/-B51))</f>
        <v>18.502666211842691</v>
      </c>
      <c r="G82" s="11">
        <f t="shared" ca="1" si="17"/>
        <v>8.577884860990487</v>
      </c>
      <c r="H82" s="50" t="str">
        <f ca="1">IF(I176=C82,I82,"")</f>
        <v/>
      </c>
      <c r="I82" s="11">
        <f t="shared" ca="1" si="18"/>
        <v>18.5</v>
      </c>
      <c r="J82" s="11"/>
      <c r="K82" s="11"/>
      <c r="L82" s="11"/>
      <c r="M82" s="11"/>
      <c r="N82" s="11"/>
      <c r="Q82" s="11"/>
      <c r="R82" s="11"/>
      <c r="S82" s="11"/>
      <c r="T82" s="11"/>
      <c r="U82" s="11"/>
      <c r="V82" s="11"/>
      <c r="X82" s="11"/>
    </row>
    <row r="83" spans="1:24" x14ac:dyDescent="0.3">
      <c r="A83" s="11">
        <f ca="1">'FALL 2'!A83</f>
        <v>61.62027419648895</v>
      </c>
      <c r="B83" s="11">
        <f ca="1">'FALL 2'!B83</f>
        <v>8.6086870533608284</v>
      </c>
      <c r="C83" s="11">
        <f t="shared" si="19"/>
        <v>10</v>
      </c>
      <c r="D83" s="11">
        <f ca="1">IF(C83=0,"",(B83*0.01*(K77-K78)+K78))</f>
        <v>9.4365216957546103</v>
      </c>
      <c r="E83" s="11"/>
      <c r="F83" s="11">
        <f ca="1">IF(D83="","",(LN((LN((1-D83/100)))/-B50)/-B51))</f>
        <v>19.302711696305902</v>
      </c>
      <c r="G83" s="11">
        <f t="shared" ca="1" si="17"/>
        <v>9.4365216957546103</v>
      </c>
      <c r="H83" s="50" t="str">
        <f ca="1">IF(I176=C83,I83,"")</f>
        <v/>
      </c>
      <c r="I83" s="11">
        <f t="shared" ca="1" si="18"/>
        <v>19.3</v>
      </c>
      <c r="J83" s="11"/>
      <c r="K83" s="11"/>
      <c r="L83" s="11"/>
      <c r="M83" s="11"/>
      <c r="N83" s="11"/>
      <c r="Q83" s="11"/>
      <c r="R83" s="11"/>
      <c r="S83" s="11"/>
      <c r="T83" s="11"/>
      <c r="U83" s="11"/>
      <c r="V83" s="11"/>
      <c r="X83" s="11"/>
    </row>
    <row r="84" spans="1:24" x14ac:dyDescent="0.3">
      <c r="A84" s="11">
        <f ca="1">'FALL 2'!A84</f>
        <v>7.1222617714573033</v>
      </c>
      <c r="B84" s="11">
        <f ca="1">'FALL 2'!B84</f>
        <v>9.2836085325027931</v>
      </c>
      <c r="C84" s="11">
        <f t="shared" si="19"/>
        <v>11</v>
      </c>
      <c r="D84" s="11">
        <f ca="1">IF(C84=0,"",(B84*0.01*(K77-K78)+K78))</f>
        <v>10.09794540257748</v>
      </c>
      <c r="E84" s="11"/>
      <c r="F84" s="11">
        <f ca="1">IF(D84="","",(LN((LN((1-D84/100)))/-B50)/-B51))</f>
        <v>19.873267736624754</v>
      </c>
      <c r="G84" s="11">
        <f t="shared" ca="1" si="17"/>
        <v>10.09794540257748</v>
      </c>
      <c r="H84" s="50" t="str">
        <f ca="1">IF(I176=C84,I84,"")</f>
        <v/>
      </c>
      <c r="I84" s="11">
        <f t="shared" ca="1" si="18"/>
        <v>19.899999999999999</v>
      </c>
      <c r="J84" s="11"/>
      <c r="K84" s="11"/>
      <c r="L84" s="11"/>
      <c r="M84" s="11"/>
      <c r="N84" s="11"/>
      <c r="Q84" s="11"/>
      <c r="R84" s="11"/>
      <c r="S84" s="11"/>
      <c r="T84" s="11"/>
      <c r="U84" s="11"/>
      <c r="V84" s="11"/>
      <c r="X84" s="11"/>
    </row>
    <row r="85" spans="1:24" x14ac:dyDescent="0.3">
      <c r="A85" s="11">
        <f ca="1">'FALL 2'!A85</f>
        <v>21.722597038799464</v>
      </c>
      <c r="B85" s="11">
        <f ca="1">'FALL 2'!B85</f>
        <v>10.53043649250084</v>
      </c>
      <c r="C85" s="11">
        <f t="shared" si="19"/>
        <v>12</v>
      </c>
      <c r="D85" s="11">
        <f ca="1">IF(C85=0,"",(B85*0.01*(K77-K78)+K78))</f>
        <v>11.319838017583205</v>
      </c>
      <c r="E85" s="11"/>
      <c r="F85" s="11">
        <f ca="1">IF(D85="","",(LN((LN((1-D85/100)))/-B50)/-B51))</f>
        <v>20.840399950477039</v>
      </c>
      <c r="G85" s="11">
        <f t="shared" ca="1" si="17"/>
        <v>11.319838017583205</v>
      </c>
      <c r="H85" s="50" t="str">
        <f ca="1">IF(I176=C85,I85,"")</f>
        <v/>
      </c>
      <c r="I85" s="11">
        <f t="shared" ca="1" si="18"/>
        <v>20.8</v>
      </c>
      <c r="J85" s="11"/>
      <c r="K85" s="11"/>
      <c r="L85" s="11"/>
      <c r="M85" s="11"/>
      <c r="N85" s="11"/>
      <c r="Q85" s="11"/>
      <c r="R85" s="11"/>
      <c r="S85" s="11"/>
      <c r="T85" s="11"/>
      <c r="U85" s="11"/>
      <c r="V85" s="11"/>
      <c r="X85" s="11"/>
    </row>
    <row r="86" spans="1:24" x14ac:dyDescent="0.3">
      <c r="A86" s="11">
        <f ca="1">'FALL 2'!A86</f>
        <v>66.829826929516031</v>
      </c>
      <c r="B86" s="11">
        <f ca="1">'FALL 2'!B86</f>
        <v>10.885530224479504</v>
      </c>
      <c r="C86" s="11">
        <f t="shared" si="19"/>
        <v>13</v>
      </c>
      <c r="D86" s="11">
        <f ca="1">(IF(C86=0,"",B86*0.01*(K77-K78)+K78))</f>
        <v>11.667830220725836</v>
      </c>
      <c r="E86" s="11"/>
      <c r="F86" s="11">
        <f ca="1">IF(D86="","",(LN((LN((1-D86/100)))/-B50)/-B51))</f>
        <v>21.097938455202552</v>
      </c>
      <c r="G86" s="11">
        <f t="shared" ca="1" si="17"/>
        <v>11.667830220725836</v>
      </c>
      <c r="H86" s="50" t="str">
        <f>IF(I1876=C86,I86,"")</f>
        <v/>
      </c>
      <c r="I86" s="11">
        <f t="shared" ca="1" si="18"/>
        <v>21.1</v>
      </c>
      <c r="J86" s="11"/>
      <c r="K86" s="11"/>
      <c r="L86" s="11"/>
      <c r="M86" s="11"/>
      <c r="N86" s="11"/>
      <c r="Q86" s="11"/>
      <c r="R86" s="11"/>
      <c r="S86" s="11"/>
      <c r="T86" s="11"/>
      <c r="U86" s="11"/>
      <c r="V86" s="11"/>
      <c r="X86" s="11"/>
    </row>
    <row r="87" spans="1:24" x14ac:dyDescent="0.3">
      <c r="A87" s="11">
        <f ca="1">'FALL 2'!A87</f>
        <v>38.485894582626536</v>
      </c>
      <c r="B87" s="11">
        <f ca="1">'FALL 2'!B87</f>
        <v>10.913854291659938</v>
      </c>
      <c r="C87" s="11">
        <f t="shared" si="19"/>
        <v>14</v>
      </c>
      <c r="D87" s="11">
        <f ca="1">IF(C87=0,"",(B87*0.01*(K77-K78)+K78))</f>
        <v>11.695587834145694</v>
      </c>
      <c r="E87" s="11"/>
      <c r="F87" s="11">
        <f ca="1">IF(D87="","",(LN((LN((1-D87/100)))/-B50)/-B51))</f>
        <v>21.118171125179078</v>
      </c>
      <c r="G87" s="11">
        <f t="shared" ca="1" si="17"/>
        <v>11.695587834145694</v>
      </c>
      <c r="H87" s="50" t="str">
        <f ca="1">IF(I176=C87,I87,"")</f>
        <v/>
      </c>
      <c r="I87" s="11">
        <f t="shared" ca="1" si="18"/>
        <v>21.1</v>
      </c>
      <c r="J87" s="11"/>
      <c r="K87" s="11"/>
      <c r="L87" s="11"/>
      <c r="M87" s="11"/>
      <c r="N87" s="11"/>
      <c r="Q87" s="11"/>
      <c r="R87" s="11"/>
      <c r="S87" s="11"/>
      <c r="T87" s="11"/>
      <c r="U87" s="11"/>
      <c r="V87" s="11"/>
      <c r="X87" s="11"/>
    </row>
    <row r="88" spans="1:24" x14ac:dyDescent="0.3">
      <c r="A88" s="11">
        <f ca="1">'FALL 2'!A88</f>
        <v>7.236393778707586</v>
      </c>
      <c r="B88" s="11">
        <f ca="1">'FALL 2'!B88</f>
        <v>14.49379961208353</v>
      </c>
      <c r="C88" s="11">
        <f t="shared" si="19"/>
        <v>15</v>
      </c>
      <c r="D88" s="11">
        <f ca="1">IF(C88=0,"",(B88*0.01*(K77-K78)+K78))</f>
        <v>15.203937734445283</v>
      </c>
      <c r="E88" s="11"/>
      <c r="F88" s="11">
        <f ca="1">IF(D88="","",(LN((LN((1-D88/100)))/-B50)/-B51))</f>
        <v>23.374303598323426</v>
      </c>
      <c r="G88" s="11">
        <f t="shared" ca="1" si="17"/>
        <v>15.203937734445283</v>
      </c>
      <c r="H88" s="50">
        <f ca="1">IF(I176=C88,I88,"")</f>
        <v>23.4</v>
      </c>
      <c r="I88" s="11">
        <f t="shared" ca="1" si="18"/>
        <v>23.4</v>
      </c>
      <c r="J88" s="11"/>
      <c r="K88" s="11"/>
      <c r="L88" s="11"/>
      <c r="M88" s="11"/>
      <c r="N88" s="11"/>
      <c r="Q88" s="11"/>
      <c r="R88" s="11"/>
      <c r="S88" s="11"/>
      <c r="T88" s="11"/>
      <c r="U88" s="11"/>
      <c r="V88" s="11"/>
      <c r="X88" s="11"/>
    </row>
    <row r="89" spans="1:24" x14ac:dyDescent="0.3">
      <c r="A89" s="11">
        <f ca="1">'FALL 2'!A89</f>
        <v>46.064691747729199</v>
      </c>
      <c r="B89" s="11">
        <f ca="1">'FALL 2'!B89</f>
        <v>14.787882301540993</v>
      </c>
      <c r="C89" s="11">
        <f t="shared" si="19"/>
        <v>16</v>
      </c>
      <c r="D89" s="11">
        <f ca="1">(IF(C89=0,"",B89*0.01*(K77-K78)+K78))</f>
        <v>15.492139056502307</v>
      </c>
      <c r="E89" s="11"/>
      <c r="F89" s="11">
        <f ca="1">IF(D89="","",(LN((LN((1-D89/100)))/-B50)/-B51))</f>
        <v>23.537707338530854</v>
      </c>
      <c r="G89" s="11">
        <f t="shared" ca="1" si="17"/>
        <v>15.492139056502307</v>
      </c>
      <c r="H89" s="50" t="str">
        <f ca="1">IF(I176=C89,I89,"")</f>
        <v/>
      </c>
      <c r="I89" s="11">
        <f t="shared" ca="1" si="18"/>
        <v>23.5</v>
      </c>
      <c r="J89" s="11"/>
      <c r="K89" s="11"/>
      <c r="L89" s="11"/>
      <c r="M89" s="11"/>
      <c r="N89" s="11"/>
      <c r="Q89" s="11"/>
      <c r="R89" s="11"/>
      <c r="S89" s="11"/>
      <c r="T89" s="11"/>
      <c r="U89" s="11"/>
      <c r="V89" s="11"/>
      <c r="X89" s="11"/>
    </row>
    <row r="90" spans="1:24" x14ac:dyDescent="0.3">
      <c r="A90" s="11">
        <f ca="1">'FALL 2'!A90</f>
        <v>21.832727086753366</v>
      </c>
      <c r="B90" s="11">
        <f ca="1">'FALL 2'!B90</f>
        <v>15.018448098362695</v>
      </c>
      <c r="C90" s="11">
        <f t="shared" si="19"/>
        <v>17</v>
      </c>
      <c r="D90" s="11">
        <f ca="1">IF(C90=0,"",(B90*0.01*(K77-K78)+K78))</f>
        <v>15.71809376192116</v>
      </c>
      <c r="E90" s="11"/>
      <c r="F90" s="11">
        <f ca="1">IF(D90="","",(LN((LN((1-D90/100)))/-B50)/-B51))</f>
        <v>23.663903881219678</v>
      </c>
      <c r="G90" s="11">
        <f t="shared" ca="1" si="17"/>
        <v>15.71809376192116</v>
      </c>
      <c r="H90" s="50" t="str">
        <f ca="1">IF(I176=C90,I90,"")</f>
        <v/>
      </c>
      <c r="I90" s="11">
        <f t="shared" ca="1" si="18"/>
        <v>23.7</v>
      </c>
      <c r="J90" s="11"/>
      <c r="K90" s="11"/>
      <c r="L90" s="11"/>
      <c r="M90" s="11"/>
      <c r="N90" s="11"/>
      <c r="Q90" s="11"/>
      <c r="R90" s="11"/>
      <c r="S90" s="11"/>
      <c r="T90" s="11"/>
      <c r="U90" s="11"/>
      <c r="V90" s="11"/>
      <c r="X90" s="11"/>
    </row>
    <row r="91" spans="1:24" x14ac:dyDescent="0.3">
      <c r="A91" s="11">
        <f ca="1">'FALL 2'!A91</f>
        <v>40.248097189293503</v>
      </c>
      <c r="B91" s="11">
        <f ca="1">'FALL 2'!B91</f>
        <v>18.068569221852552</v>
      </c>
      <c r="C91" s="11">
        <f t="shared" si="19"/>
        <v>18</v>
      </c>
      <c r="D91" s="11">
        <f ca="1">IF(C91=0,"",(B91*0.01*(K77-K78)+K78))</f>
        <v>18.707215433263094</v>
      </c>
      <c r="E91" s="11"/>
      <c r="F91" s="11">
        <f ca="1">IF(D91="","",(LN((LN((1-D91/100)))/-B50)/-B51))</f>
        <v>25.195981598328483</v>
      </c>
      <c r="G91" s="11">
        <f t="shared" ca="1" si="17"/>
        <v>18.707215433263094</v>
      </c>
      <c r="H91" s="50" t="str">
        <f>IF(I1976=C91,I91,"")</f>
        <v/>
      </c>
      <c r="I91" s="11">
        <f t="shared" ca="1" si="18"/>
        <v>25.2</v>
      </c>
      <c r="J91" s="11"/>
      <c r="K91" s="11"/>
      <c r="L91" s="11"/>
      <c r="M91" s="11"/>
      <c r="N91" s="11"/>
      <c r="Q91" s="11"/>
      <c r="R91" s="11"/>
      <c r="S91" s="11"/>
      <c r="T91" s="11"/>
      <c r="U91" s="11"/>
      <c r="V91" s="11"/>
      <c r="X91" s="11"/>
    </row>
    <row r="92" spans="1:24" x14ac:dyDescent="0.3">
      <c r="A92" s="11">
        <f ca="1">'FALL 2'!A92</f>
        <v>22.798403487660405</v>
      </c>
      <c r="B92" s="11">
        <f ca="1">'FALL 2'!B92</f>
        <v>18.096694046407926</v>
      </c>
      <c r="C92" s="11">
        <f t="shared" si="19"/>
        <v>19</v>
      </c>
      <c r="D92" s="11">
        <f ca="1">IF(C92=0,"",(B92*0.01*(K77-K78)+K78))</f>
        <v>18.734777788716364</v>
      </c>
      <c r="E92" s="11"/>
      <c r="F92" s="11">
        <f ca="1">IF(D92="","",(LN((LN((1-D92/100)))/-B50)/-B51))</f>
        <v>25.20906434283448</v>
      </c>
      <c r="G92" s="11">
        <f t="shared" ca="1" si="17"/>
        <v>18.734777788716364</v>
      </c>
      <c r="H92" s="50" t="str">
        <f ca="1">IF(I176=C92,I92,"")</f>
        <v/>
      </c>
      <c r="I92" s="11">
        <f t="shared" ca="1" si="18"/>
        <v>25.2</v>
      </c>
      <c r="J92" s="11"/>
      <c r="K92" s="11"/>
      <c r="L92" s="11"/>
      <c r="M92" s="11"/>
      <c r="N92" s="11"/>
      <c r="Q92" s="11"/>
      <c r="R92" s="11"/>
      <c r="S92" s="11"/>
      <c r="T92" s="11"/>
      <c r="U92" s="11"/>
      <c r="V92" s="11"/>
      <c r="X92" s="11"/>
    </row>
    <row r="93" spans="1:24" x14ac:dyDescent="0.3">
      <c r="A93" s="11">
        <f ca="1">'FALL 2'!A93</f>
        <v>49.691148443190642</v>
      </c>
      <c r="B93" s="11">
        <f ca="1">'FALL 2'!B93</f>
        <v>19.165157236496931</v>
      </c>
      <c r="C93" s="11">
        <f t="shared" si="19"/>
        <v>20</v>
      </c>
      <c r="D93" s="11">
        <f ca="1">IF(C93=0,"",(B93*0.01*(K77-K78)+K78))</f>
        <v>19.781872755512953</v>
      </c>
      <c r="E93" s="11"/>
      <c r="F93" s="11">
        <f ca="1">IF(D93="","",(LN((LN((1-D93/100)))/-B50)/-B51))</f>
        <v>25.693980054854379</v>
      </c>
      <c r="G93" s="11">
        <f t="shared" ca="1" si="17"/>
        <v>19.781872755512953</v>
      </c>
      <c r="H93" s="50" t="str">
        <f ca="1">IF(I176=C93,I93,"")</f>
        <v/>
      </c>
      <c r="I93" s="11">
        <f t="shared" ca="1" si="18"/>
        <v>25.7</v>
      </c>
      <c r="J93" s="11"/>
      <c r="K93" s="11"/>
      <c r="L93" s="11"/>
      <c r="M93" s="11"/>
      <c r="N93" s="11"/>
      <c r="Q93" s="11"/>
      <c r="R93" s="11"/>
      <c r="S93" s="11"/>
      <c r="T93" s="11"/>
      <c r="U93" s="11"/>
      <c r="V93" s="11"/>
      <c r="X93" s="11"/>
    </row>
    <row r="94" spans="1:24" x14ac:dyDescent="0.3">
      <c r="A94" s="11">
        <f ca="1">'FALL 2'!A94</f>
        <v>54.990009558994942</v>
      </c>
      <c r="B94" s="11">
        <f ca="1">'FALL 2'!B94</f>
        <v>19.716125294376258</v>
      </c>
      <c r="C94" s="11">
        <f t="shared" si="19"/>
        <v>21</v>
      </c>
      <c r="D94" s="11">
        <f ca="1">IF(C94=0,"",(B94*0.01*(K77-K78)+K78))</f>
        <v>20.321821988787967</v>
      </c>
      <c r="E94" s="11"/>
      <c r="F94" s="11">
        <f ca="1">IF(D94="","",(LN((LN((1-D94/100)))/-B50)/-B51))</f>
        <v>25.935329977230797</v>
      </c>
      <c r="G94" s="11">
        <f t="shared" ca="1" si="17"/>
        <v>20.321821988787967</v>
      </c>
      <c r="H94" s="50" t="str">
        <f ca="1">IF(I176=C94,I94,"")</f>
        <v/>
      </c>
      <c r="I94" s="11">
        <f t="shared" ca="1" si="18"/>
        <v>25.9</v>
      </c>
      <c r="J94" s="11"/>
      <c r="K94" s="11"/>
      <c r="L94" s="11"/>
      <c r="M94" s="11"/>
      <c r="N94" s="11"/>
      <c r="Q94" s="11"/>
      <c r="R94" s="11"/>
      <c r="S94" s="11"/>
      <c r="T94" s="11"/>
      <c r="U94" s="11"/>
      <c r="V94" s="11"/>
      <c r="X94" s="11"/>
    </row>
    <row r="95" spans="1:24" x14ac:dyDescent="0.3">
      <c r="A95" s="11">
        <f ca="1">'FALL 2'!A95</f>
        <v>42.527251835919955</v>
      </c>
      <c r="B95" s="11">
        <f ca="1">'FALL 2'!B95</f>
        <v>20.069201538126915</v>
      </c>
      <c r="C95" s="11">
        <f t="shared" si="19"/>
        <v>22</v>
      </c>
      <c r="D95" s="11">
        <f ca="1">IF(C95=0,"",(B95*0.01*(K77-K78)+K78))</f>
        <v>20.667837051502445</v>
      </c>
      <c r="E95" s="11"/>
      <c r="F95" s="11">
        <f ca="1">IF(D95="","",(LN((LN((1-D95/100)))/-B50)/-B51))</f>
        <v>26.087082897234296</v>
      </c>
      <c r="G95" s="11">
        <f t="shared" ca="1" si="17"/>
        <v>20.667837051502445</v>
      </c>
      <c r="H95" s="50" t="str">
        <f ca="1">IF(I176=C95,I95,"")</f>
        <v/>
      </c>
      <c r="I95" s="11">
        <f t="shared" ca="1" si="18"/>
        <v>26.1</v>
      </c>
      <c r="J95" s="11"/>
      <c r="K95" s="11"/>
      <c r="L95" s="11"/>
      <c r="M95" s="11"/>
      <c r="N95" s="11"/>
      <c r="Q95" s="11"/>
      <c r="R95" s="11"/>
      <c r="S95" s="11"/>
      <c r="T95" s="11"/>
      <c r="U95" s="11"/>
      <c r="V95" s="11"/>
      <c r="X95" s="11"/>
    </row>
    <row r="96" spans="1:24" x14ac:dyDescent="0.3">
      <c r="A96" s="11">
        <f ca="1">'FALL 2'!A96</f>
        <v>29.016184708225413</v>
      </c>
      <c r="B96" s="11">
        <f ca="1">'FALL 2'!B96</f>
        <v>20.477118628301223</v>
      </c>
      <c r="C96" s="11">
        <f t="shared" si="19"/>
        <v>23</v>
      </c>
      <c r="D96" s="11">
        <f ca="1">IF(C96=0,"",(B96*0.01*(K77-K78)+K78))</f>
        <v>21.067596197118167</v>
      </c>
      <c r="E96" s="11"/>
      <c r="F96" s="11">
        <f ca="1">IF(D96="","",(LN((LN((1-D96/100)))/-B50)/-B51))</f>
        <v>26.259695576673717</v>
      </c>
      <c r="G96" s="11">
        <f t="shared" ca="1" si="17"/>
        <v>21.067596197118167</v>
      </c>
      <c r="H96" s="50" t="str">
        <f>IF(I1976=C96,I96,"")</f>
        <v/>
      </c>
      <c r="I96" s="11">
        <f t="shared" ca="1" si="18"/>
        <v>26.3</v>
      </c>
      <c r="J96" s="11"/>
      <c r="K96" s="11"/>
      <c r="L96" s="11"/>
      <c r="M96" s="11"/>
      <c r="N96" s="11"/>
      <c r="Q96" s="11"/>
      <c r="R96" s="11"/>
      <c r="S96" s="11"/>
      <c r="T96" s="11"/>
      <c r="U96" s="11"/>
      <c r="V96" s="11"/>
      <c r="X96" s="11"/>
    </row>
    <row r="97" spans="1:24" x14ac:dyDescent="0.3">
      <c r="A97" s="11">
        <f ca="1">'FALL 2'!A97</f>
        <v>75.433313687716009</v>
      </c>
      <c r="B97" s="11">
        <f ca="1">'FALL 2'!B97</f>
        <v>21.722597038799464</v>
      </c>
      <c r="C97" s="11">
        <f t="shared" si="19"/>
        <v>24</v>
      </c>
      <c r="D97" s="11">
        <f ca="1">IF(C97=0,"",(B97*0.01*(K77-K78)+K78))</f>
        <v>22.288166252299835</v>
      </c>
      <c r="E97" s="11"/>
      <c r="F97" s="11">
        <f ca="1">IF(D97="","",(LN((LN((1-D97/100)))/-B50)/-B51))</f>
        <v>26.769858571876266</v>
      </c>
      <c r="G97" s="11">
        <f t="shared" ca="1" si="17"/>
        <v>22.288166252299835</v>
      </c>
      <c r="H97" s="50" t="str">
        <f ca="1">IF(I176=C97,I97,"")</f>
        <v/>
      </c>
      <c r="I97" s="11">
        <f t="shared" ca="1" si="18"/>
        <v>26.8</v>
      </c>
      <c r="J97" s="11"/>
      <c r="K97" s="11"/>
      <c r="L97" s="11"/>
      <c r="M97" s="11"/>
      <c r="N97" s="11"/>
      <c r="Q97" s="11"/>
      <c r="R97" s="11"/>
      <c r="S97" s="11"/>
      <c r="T97" s="11"/>
      <c r="U97" s="11"/>
      <c r="V97" s="11"/>
      <c r="X97" s="11"/>
    </row>
    <row r="98" spans="1:24" x14ac:dyDescent="0.3">
      <c r="A98" s="11">
        <f ca="1">'FALL 2'!A98</f>
        <v>29.972532191020719</v>
      </c>
      <c r="B98" s="11">
        <f ca="1">'FALL 2'!B98</f>
        <v>21.832727086753366</v>
      </c>
      <c r="C98" s="11">
        <f t="shared" si="19"/>
        <v>25</v>
      </c>
      <c r="D98" s="11">
        <f ca="1">IF(C98=0,"",(B98*0.01*(K77-K78)+K78))</f>
        <v>22.396093806543416</v>
      </c>
      <c r="E98" s="11"/>
      <c r="F98" s="11">
        <f ca="1">IF(D98="","",(LN((LN((1-D98/100)))/-B50)/-B51))</f>
        <v>26.81381228030218</v>
      </c>
      <c r="G98" s="11">
        <f t="shared" ca="1" si="17"/>
        <v>22.396093806543416</v>
      </c>
      <c r="H98" s="50" t="str">
        <f ca="1">IF(I176=C98,I98,"")</f>
        <v/>
      </c>
      <c r="I98" s="11">
        <f t="shared" ca="1" si="18"/>
        <v>26.8</v>
      </c>
      <c r="J98" s="11"/>
      <c r="K98" s="11"/>
      <c r="L98" s="11"/>
      <c r="M98" s="11"/>
      <c r="N98" s="11"/>
      <c r="Q98" s="11"/>
      <c r="R98" s="11"/>
      <c r="S98" s="11"/>
      <c r="T98" s="11"/>
      <c r="U98" s="11"/>
      <c r="V98" s="11"/>
      <c r="X98" s="11"/>
    </row>
    <row r="99" spans="1:24" x14ac:dyDescent="0.3">
      <c r="A99" s="11">
        <f ca="1">'FALL 2'!A99</f>
        <v>98.808316937464056</v>
      </c>
      <c r="B99" s="11">
        <f ca="1">'FALL 2'!B99</f>
        <v>22.363985131911313</v>
      </c>
      <c r="C99" s="11">
        <f t="shared" si="19"/>
        <v>26</v>
      </c>
      <c r="D99" s="11">
        <f ca="1">IF(C99=0,"",(B99*0.01*(K77-K78)+K78))</f>
        <v>22.91672720815713</v>
      </c>
      <c r="E99" s="11"/>
      <c r="F99" s="11">
        <f ca="1">IF(D99="","",(LN((LN((1-D99/100)))/-B50)/-B51))</f>
        <v>27.023350278290824</v>
      </c>
      <c r="G99" s="11">
        <f t="shared" ca="1" si="17"/>
        <v>22.91672720815713</v>
      </c>
      <c r="H99" s="50" t="str">
        <f ca="1">IF(I176=C99,I99,"")</f>
        <v/>
      </c>
      <c r="I99" s="11">
        <f t="shared" ca="1" si="18"/>
        <v>27</v>
      </c>
      <c r="J99" s="11"/>
      <c r="K99" s="11"/>
      <c r="L99" s="11"/>
      <c r="M99" s="11"/>
      <c r="N99" s="11"/>
      <c r="Q99" s="11"/>
      <c r="R99" s="11"/>
      <c r="S99" s="11"/>
      <c r="T99" s="11"/>
      <c r="U99" s="11"/>
      <c r="V99" s="11"/>
      <c r="X99" s="11"/>
    </row>
    <row r="100" spans="1:24" x14ac:dyDescent="0.3">
      <c r="A100" s="11">
        <f ca="1">'FALL 2'!A100</f>
        <v>57.231159567227657</v>
      </c>
      <c r="B100" s="11">
        <f ca="1">'FALL 2'!B100</f>
        <v>22.402120716537858</v>
      </c>
      <c r="C100" s="11">
        <f t="shared" si="19"/>
        <v>27</v>
      </c>
      <c r="D100" s="11">
        <f ca="1">IF(C100=0,"",(B100*0.01*(K77-K78)+K78))</f>
        <v>22.954100118229004</v>
      </c>
      <c r="E100" s="11"/>
      <c r="F100" s="11">
        <f ca="1">IF(D100="","",(LN((LN((1-D100/100)))/-B50)/-B51))</f>
        <v>27.038236137793419</v>
      </c>
      <c r="G100" s="11">
        <f t="shared" ca="1" si="17"/>
        <v>22.954100118229004</v>
      </c>
      <c r="H100" s="50" t="str">
        <f ca="1">IF(I176=C100,I100,"")</f>
        <v/>
      </c>
      <c r="I100" s="11">
        <f t="shared" ca="1" si="18"/>
        <v>27</v>
      </c>
      <c r="J100" s="11"/>
      <c r="K100" s="11"/>
      <c r="L100" s="11"/>
      <c r="M100" s="11"/>
      <c r="N100" s="11"/>
      <c r="Q100" s="11"/>
      <c r="R100" s="11"/>
      <c r="S100" s="11"/>
      <c r="T100" s="11"/>
      <c r="U100" s="11"/>
      <c r="V100" s="11"/>
      <c r="X100" s="11"/>
    </row>
    <row r="101" spans="1:24" x14ac:dyDescent="0.3">
      <c r="A101" s="11">
        <f ca="1">'FALL 2'!A101</f>
        <v>14.787882301540993</v>
      </c>
      <c r="B101" s="11">
        <f ca="1">'FALL 2'!B101</f>
        <v>22.66610817703523</v>
      </c>
      <c r="C101" s="11">
        <f t="shared" si="19"/>
        <v>28</v>
      </c>
      <c r="D101" s="11">
        <f ca="1">IF(C101=0,"",(B101*0.01*(K77-K78)+K78))</f>
        <v>23.212808086597274</v>
      </c>
      <c r="E101" s="11"/>
      <c r="F101" s="11">
        <f ca="1">IF(D101="","",(LN((LN((1-D101/100)))/-B50)/-B51))</f>
        <v>27.140723952195486</v>
      </c>
      <c r="G101" s="11">
        <f t="shared" ca="1" si="17"/>
        <v>23.212808086597274</v>
      </c>
      <c r="H101" s="50" t="str">
        <f ca="1">IF(I176=C101,I101,"")</f>
        <v/>
      </c>
      <c r="I101" s="11">
        <f t="shared" ca="1" si="18"/>
        <v>27.1</v>
      </c>
      <c r="J101" s="11"/>
      <c r="K101" s="11"/>
      <c r="L101" s="11"/>
      <c r="M101" s="11"/>
      <c r="N101" s="11"/>
      <c r="Q101" s="11"/>
      <c r="R101" s="11"/>
      <c r="S101" s="11"/>
      <c r="T101" s="11"/>
      <c r="U101" s="11"/>
      <c r="V101" s="11"/>
      <c r="X101" s="11"/>
    </row>
    <row r="102" spans="1:24" x14ac:dyDescent="0.3">
      <c r="A102" s="11">
        <f ca="1">'FALL 2'!A102</f>
        <v>40.887985740747538</v>
      </c>
      <c r="B102" s="11">
        <f ca="1">'FALL 2'!B102</f>
        <v>22.798403487660405</v>
      </c>
      <c r="C102" s="11">
        <f t="shared" si="19"/>
        <v>29</v>
      </c>
      <c r="D102" s="11">
        <f ca="1">IF(C102=0,"",(B102*0.01*(K77-K78)+K78))</f>
        <v>23.342457619844062</v>
      </c>
      <c r="E102" s="11"/>
      <c r="F102" s="11">
        <f ca="1">IF(D102="","",(LN((LN((1-D102/100)))/-B50)/-B51))</f>
        <v>27.191723382907877</v>
      </c>
      <c r="G102" s="11">
        <f t="shared" ca="1" si="17"/>
        <v>23.342457619844062</v>
      </c>
      <c r="H102" s="50" t="str">
        <f ca="1">IF(I176=C102,I102,"")</f>
        <v/>
      </c>
      <c r="I102" s="11">
        <f t="shared" ca="1" si="18"/>
        <v>27.2</v>
      </c>
      <c r="J102" s="11"/>
      <c r="K102" s="11"/>
      <c r="L102" s="11"/>
      <c r="M102" s="11"/>
      <c r="N102" s="11"/>
      <c r="O102" s="11"/>
      <c r="Q102" s="11"/>
      <c r="R102" s="11"/>
      <c r="S102" s="11"/>
      <c r="T102" s="11"/>
      <c r="U102" s="11"/>
      <c r="V102" s="11"/>
      <c r="X102" s="11"/>
    </row>
    <row r="103" spans="1:24" x14ac:dyDescent="0.3">
      <c r="A103" s="11">
        <f ca="1">'FALL 2'!A103</f>
        <v>88.960234235886745</v>
      </c>
      <c r="B103" s="11">
        <f ca="1">'FALL 2'!B103</f>
        <v>22.988763705825928</v>
      </c>
      <c r="C103" s="11">
        <f t="shared" si="19"/>
        <v>30</v>
      </c>
      <c r="D103" s="11">
        <f ca="1">IF(C103=0,"",(B103*0.01*(K77-K78)+K78))</f>
        <v>23.529010819026166</v>
      </c>
      <c r="E103" s="11"/>
      <c r="F103" s="11">
        <f ca="1">IF(D103="","",(LN((LN((1-D103/100)))/-B50)/-B51))</f>
        <v>27.264690321274514</v>
      </c>
      <c r="G103" s="11">
        <f t="shared" ca="1" si="17"/>
        <v>23.529010819026166</v>
      </c>
      <c r="H103" s="50" t="str">
        <f ca="1">IF(I176=C103,I103,"")</f>
        <v/>
      </c>
      <c r="I103" s="11">
        <f t="shared" ca="1" si="18"/>
        <v>27.3</v>
      </c>
      <c r="J103" s="11"/>
      <c r="K103" s="11"/>
      <c r="L103" s="11"/>
      <c r="M103" s="11"/>
      <c r="N103" s="11"/>
      <c r="O103" s="11"/>
      <c r="Q103" s="11"/>
      <c r="R103" s="11"/>
      <c r="S103" s="11"/>
      <c r="T103" s="11"/>
      <c r="U103" s="11"/>
      <c r="V103" s="11"/>
      <c r="X103" s="11"/>
    </row>
    <row r="104" spans="1:24" x14ac:dyDescent="0.3">
      <c r="A104" s="11">
        <f ca="1">'FALL 2'!A104</f>
        <v>45.47883392341403</v>
      </c>
      <c r="B104" s="11">
        <f ca="1">'FALL 2'!B104</f>
        <v>24.222389089655788</v>
      </c>
      <c r="C104" s="11">
        <f t="shared" si="19"/>
        <v>31</v>
      </c>
      <c r="D104" s="11">
        <f ca="1">IF(C104=0,"",(B104*0.01*(K77-K78)+K78))</f>
        <v>24.737964896529903</v>
      </c>
      <c r="E104" s="11"/>
      <c r="F104" s="11">
        <f ca="1">IF(D104="","",(LN((LN((1-D104/100)))/-B50)/-B51))</f>
        <v>27.726164430540617</v>
      </c>
      <c r="G104" s="11">
        <f t="shared" ca="1" si="17"/>
        <v>24.737964896529903</v>
      </c>
      <c r="H104" s="50" t="str">
        <f ca="1">IF(I176=C104,I104,"")</f>
        <v/>
      </c>
      <c r="I104" s="11">
        <f t="shared" ca="1" si="18"/>
        <v>27.7</v>
      </c>
      <c r="J104" s="11"/>
      <c r="K104" s="11"/>
      <c r="L104" s="11"/>
      <c r="M104" s="11"/>
      <c r="N104" s="11"/>
      <c r="O104" s="11"/>
      <c r="Q104" s="11"/>
      <c r="R104" s="11"/>
      <c r="S104" s="11"/>
      <c r="T104" s="11"/>
      <c r="U104" s="11"/>
      <c r="V104" s="11"/>
      <c r="X104" s="11"/>
    </row>
    <row r="105" spans="1:24" x14ac:dyDescent="0.3">
      <c r="A105" s="11">
        <f ca="1">'FALL 2'!A105</f>
        <v>10.913854291659938</v>
      </c>
      <c r="B105" s="11">
        <f ca="1">'FALL 2'!B105</f>
        <v>26.935136806361843</v>
      </c>
      <c r="C105" s="11">
        <f t="shared" si="19"/>
        <v>32</v>
      </c>
      <c r="D105" s="11">
        <f ca="1">IF(C105=0,"",(B105*0.01*(K77-K78)+K78))</f>
        <v>27.396460300676889</v>
      </c>
      <c r="E105" s="11"/>
      <c r="F105" s="11">
        <f ca="1">IF(D105="","",(LN((LN((1-D105/100)))/-B50)/-B51))</f>
        <v>28.679011618681688</v>
      </c>
      <c r="G105" s="11">
        <f t="shared" ca="1" si="17"/>
        <v>27.396460300676889</v>
      </c>
      <c r="H105" s="50" t="str">
        <f>IF(I2176=C105,I105,"")</f>
        <v/>
      </c>
      <c r="I105" s="11">
        <f t="shared" ca="1" si="18"/>
        <v>28.7</v>
      </c>
      <c r="J105" s="11"/>
      <c r="K105" s="11"/>
      <c r="L105" s="11"/>
      <c r="M105" s="11"/>
      <c r="N105" s="11"/>
      <c r="O105" s="11"/>
      <c r="Q105" s="11"/>
      <c r="R105" s="11"/>
      <c r="S105" s="11"/>
      <c r="T105" s="11"/>
      <c r="U105" s="11"/>
      <c r="V105" s="11"/>
      <c r="X105" s="11"/>
    </row>
    <row r="106" spans="1:24" x14ac:dyDescent="0.3">
      <c r="A106" s="11">
        <f ca="1">'FALL 2'!A106</f>
        <v>18.068569221852552</v>
      </c>
      <c r="B106" s="11">
        <f ca="1">'FALL 2'!B106</f>
        <v>28.040272016733912</v>
      </c>
      <c r="C106" s="11">
        <f t="shared" si="19"/>
        <v>33</v>
      </c>
      <c r="D106" s="11">
        <f ca="1">(IF(C106=0,"",B106*0.01*(K77-K78)+K78))</f>
        <v>28.479493883063466</v>
      </c>
      <c r="E106" s="11"/>
      <c r="F106" s="11">
        <f ca="1">IF(D106="","",(LN((LN((1-D106/100)))/-B50)/-B51))</f>
        <v>29.045875425530006</v>
      </c>
      <c r="G106" s="11">
        <f t="shared" ca="1" si="17"/>
        <v>28.479493883063466</v>
      </c>
      <c r="H106" s="50" t="str">
        <f ca="1">IF(I176=C106,I106,"")</f>
        <v/>
      </c>
      <c r="I106" s="11">
        <f t="shared" ca="1" si="18"/>
        <v>29</v>
      </c>
      <c r="J106" s="11"/>
      <c r="K106" s="11"/>
      <c r="L106" s="11"/>
      <c r="M106" s="11"/>
      <c r="N106" s="11"/>
      <c r="O106" s="11"/>
      <c r="Q106" s="11"/>
      <c r="R106" s="11"/>
      <c r="S106" s="11"/>
      <c r="T106" s="11"/>
      <c r="U106" s="11"/>
      <c r="V106" s="11"/>
      <c r="X106" s="11"/>
    </row>
    <row r="107" spans="1:24" x14ac:dyDescent="0.3">
      <c r="A107" s="11">
        <f ca="1">'FALL 2'!A107</f>
        <v>58.464920340926298</v>
      </c>
      <c r="B107" s="11">
        <f ca="1">'FALL 2'!B107</f>
        <v>29.016184708225413</v>
      </c>
      <c r="C107" s="11">
        <f t="shared" si="19"/>
        <v>34</v>
      </c>
      <c r="D107" s="11">
        <f ca="1">IF(C107=0,"",(B107*0.01*(K77-K78)+K78))</f>
        <v>29.435889271105363</v>
      </c>
      <c r="E107" s="11"/>
      <c r="F107" s="11">
        <f ca="1">IF(D107="","",(LN((LN((1-D107/100)))/-B50)/-B51))</f>
        <v>29.360784710752657</v>
      </c>
      <c r="G107" s="11">
        <f t="shared" ca="1" si="17"/>
        <v>29.435889271105363</v>
      </c>
      <c r="H107" s="50" t="str">
        <f ca="1">IF(I176=C107,I107,"")</f>
        <v/>
      </c>
      <c r="I107" s="11">
        <f t="shared" ca="1" si="18"/>
        <v>29.4</v>
      </c>
      <c r="J107" s="11"/>
      <c r="K107" s="11"/>
      <c r="L107" s="11"/>
      <c r="M107" s="11"/>
      <c r="N107" s="11"/>
      <c r="O107" s="11"/>
      <c r="Q107" s="11"/>
      <c r="R107" s="11"/>
      <c r="S107" s="11"/>
      <c r="T107" s="11"/>
      <c r="U107" s="11"/>
      <c r="V107" s="11"/>
      <c r="X107" s="11"/>
    </row>
    <row r="108" spans="1:24" x14ac:dyDescent="0.3">
      <c r="A108" s="11">
        <f ca="1">'FALL 2'!A108</f>
        <v>55.921474171140048</v>
      </c>
      <c r="B108" s="11">
        <f ca="1">'FALL 2'!B108</f>
        <v>29.972532191020719</v>
      </c>
      <c r="C108" s="11">
        <f t="shared" si="19"/>
        <v>35</v>
      </c>
      <c r="D108" s="11">
        <f ca="1">(IF(C108=0,"",B108*0.01*(K77-K78)+K78))</f>
        <v>30.373110735571661</v>
      </c>
      <c r="E108" s="11"/>
      <c r="F108" s="11">
        <f ca="1">IF(D108="","",(LN((LN((1-D108/100)))/-B50)/-B51))</f>
        <v>29.661736213926488</v>
      </c>
      <c r="G108" s="11">
        <f t="shared" ca="1" si="17"/>
        <v>30.373110735571661</v>
      </c>
      <c r="H108" s="50" t="str">
        <f ca="1">IF(I176=C108,I108,"")</f>
        <v/>
      </c>
      <c r="I108" s="11">
        <f t="shared" ca="1" si="18"/>
        <v>29.7</v>
      </c>
      <c r="J108" s="11"/>
      <c r="K108" s="11"/>
      <c r="L108" s="11"/>
      <c r="M108" s="11"/>
      <c r="N108" s="11"/>
      <c r="O108" s="11"/>
      <c r="Q108" s="11"/>
      <c r="R108" s="11"/>
      <c r="S108" s="11"/>
      <c r="T108" s="11"/>
      <c r="U108" s="11"/>
      <c r="V108" s="11"/>
      <c r="X108" s="11"/>
    </row>
    <row r="109" spans="1:24" x14ac:dyDescent="0.3">
      <c r="A109" s="11">
        <f ca="1">'FALL 2'!A109</f>
        <v>82.652071906329411</v>
      </c>
      <c r="B109" s="11">
        <f ca="1">'FALL 2'!B109</f>
        <v>30.123378148520377</v>
      </c>
      <c r="C109" s="11">
        <f t="shared" si="19"/>
        <v>36</v>
      </c>
      <c r="D109" s="11">
        <f ca="1">IF(C109=0,"",(B109*0.01*(K77-K78)+K78))</f>
        <v>30.520939920820759</v>
      </c>
      <c r="E109" s="11"/>
      <c r="F109" s="11">
        <f ca="1">IF(D109="","",(LN((LN((1-D109/100)))/-B50)/-B51))</f>
        <v>29.708548998542945</v>
      </c>
      <c r="G109" s="11">
        <f t="shared" ca="1" si="17"/>
        <v>30.520939920820759</v>
      </c>
      <c r="H109" s="50" t="str">
        <f ca="1">IF(I176=C109,I109,"")</f>
        <v/>
      </c>
      <c r="I109" s="11">
        <f t="shared" ca="1" si="18"/>
        <v>29.7</v>
      </c>
      <c r="J109" s="11"/>
      <c r="K109" s="11"/>
      <c r="L109" s="11"/>
      <c r="M109" s="11"/>
      <c r="N109" s="11"/>
      <c r="O109" s="11"/>
      <c r="Q109" s="11"/>
      <c r="R109" s="11"/>
      <c r="S109" s="11"/>
      <c r="T109" s="11"/>
      <c r="U109" s="11"/>
      <c r="V109" s="11"/>
      <c r="X109" s="11"/>
    </row>
    <row r="110" spans="1:24" x14ac:dyDescent="0.3">
      <c r="A110" s="11">
        <f ca="1">'FALL 2'!A110</f>
        <v>78.113730407507262</v>
      </c>
      <c r="B110" s="11">
        <f ca="1">'FALL 2'!B110</f>
        <v>30.392788314351847</v>
      </c>
      <c r="C110" s="11">
        <f t="shared" si="19"/>
        <v>37</v>
      </c>
      <c r="D110" s="11">
        <f ca="1">IF(C110=0,"",(B110*0.01*(K77-K78)+K78))</f>
        <v>30.784962145697282</v>
      </c>
      <c r="E110" s="11"/>
      <c r="F110" s="11">
        <f ca="1">IF(D110="","",(LN((LN((1-D110/100)))/-B50)/-B51))</f>
        <v>29.79172572322879</v>
      </c>
      <c r="G110" s="11">
        <f t="shared" ca="1" si="17"/>
        <v>30.784962145697282</v>
      </c>
      <c r="H110" s="50" t="str">
        <f ca="1">IF(I176=C110,I110,"")</f>
        <v/>
      </c>
      <c r="I110" s="11">
        <f t="shared" ca="1" si="18"/>
        <v>29.8</v>
      </c>
      <c r="J110" s="11"/>
      <c r="K110" s="11"/>
      <c r="L110" s="11"/>
      <c r="M110" s="11"/>
      <c r="N110" s="11"/>
      <c r="O110" s="11"/>
      <c r="Q110" s="11"/>
      <c r="R110" s="11"/>
      <c r="S110" s="11"/>
      <c r="T110" s="11"/>
      <c r="U110" s="11"/>
      <c r="V110" s="11"/>
      <c r="X110" s="11"/>
    </row>
    <row r="111" spans="1:24" x14ac:dyDescent="0.3">
      <c r="A111" s="11">
        <f ca="1">'FALL 2'!A111</f>
        <v>67.554798364905551</v>
      </c>
      <c r="B111" s="11">
        <f ca="1">'FALL 2'!B111</f>
        <v>30.928527190486321</v>
      </c>
      <c r="C111" s="11">
        <f t="shared" si="19"/>
        <v>38</v>
      </c>
      <c r="D111" s="11">
        <f ca="1">(IF(C111=0,"",B111*0.01*(K77-K78)+K78))</f>
        <v>31.309986766031592</v>
      </c>
      <c r="E111" s="11"/>
      <c r="F111" s="11">
        <f ca="1">IF(D111="","",(LN((LN((1-D111/100)))/-B50)/-B51))</f>
        <v>29.955523664433457</v>
      </c>
      <c r="G111" s="11">
        <f t="shared" ca="1" si="17"/>
        <v>31.309986766031592</v>
      </c>
      <c r="H111" s="50" t="str">
        <f ca="1">IF(I176=C111,I111,"")</f>
        <v/>
      </c>
      <c r="I111" s="11">
        <f t="shared" ca="1" si="18"/>
        <v>30</v>
      </c>
      <c r="J111" s="11"/>
      <c r="K111" s="11"/>
      <c r="L111" s="11"/>
      <c r="M111" s="11"/>
      <c r="N111" s="11"/>
      <c r="O111" s="11"/>
      <c r="Q111" s="11"/>
      <c r="R111" s="11"/>
      <c r="S111" s="11"/>
      <c r="T111" s="11"/>
      <c r="U111" s="11"/>
      <c r="V111" s="11"/>
      <c r="X111" s="11"/>
    </row>
    <row r="112" spans="1:24" x14ac:dyDescent="0.3">
      <c r="A112" s="11">
        <f ca="1">'FALL 2'!A112</f>
        <v>24.222389089655788</v>
      </c>
      <c r="B112" s="11">
        <f ca="1">'FALL 2'!B112</f>
        <v>33.284811034336883</v>
      </c>
      <c r="C112" s="11">
        <f t="shared" si="19"/>
        <v>39</v>
      </c>
      <c r="D112" s="11">
        <f ca="1">IF(C112=0,"",(B112*0.01*(K77-K78)+K78))</f>
        <v>33.619147227642365</v>
      </c>
      <c r="E112" s="11"/>
      <c r="F112" s="11">
        <f ca="1">IF(D112="","",(LN((LN((1-D112/100)))/-B50)/-B51))</f>
        <v>30.652377660075889</v>
      </c>
      <c r="G112" s="11">
        <f t="shared" ca="1" si="17"/>
        <v>33.619147227642365</v>
      </c>
      <c r="H112" s="50" t="str">
        <f ca="1">IF(I176=C112,I112,"")</f>
        <v/>
      </c>
      <c r="I112" s="11">
        <f t="shared" ca="1" si="18"/>
        <v>30.7</v>
      </c>
      <c r="J112" s="11"/>
      <c r="K112" s="11"/>
      <c r="L112" s="11"/>
      <c r="M112" s="11"/>
      <c r="N112" s="11"/>
      <c r="O112" s="11"/>
      <c r="Q112" s="11"/>
      <c r="R112" s="11"/>
      <c r="S112" s="11"/>
      <c r="T112" s="11"/>
      <c r="U112" s="11"/>
      <c r="V112" s="11"/>
      <c r="X112" s="11"/>
    </row>
    <row r="113" spans="1:24" x14ac:dyDescent="0.3">
      <c r="A113" s="11">
        <f ca="1">'FALL 2'!A113</f>
        <v>22.988763705825928</v>
      </c>
      <c r="B113" s="11">
        <f ca="1">'FALL 2'!B113</f>
        <v>33.68582618215472</v>
      </c>
      <c r="C113" s="11">
        <f t="shared" si="19"/>
        <v>40</v>
      </c>
      <c r="D113" s="11">
        <f ca="1">IF(C113=0,"",(B113*0.01*(K77-K78)+K78))</f>
        <v>34.012142463027374</v>
      </c>
      <c r="E113" s="11"/>
      <c r="F113" s="11">
        <f ca="1">IF(D113="","",(LN((LN((1-D113/100)))/-B50)/-B51))</f>
        <v>30.767430555870884</v>
      </c>
      <c r="G113" s="11">
        <f t="shared" ca="1" si="17"/>
        <v>34.012142463027374</v>
      </c>
      <c r="H113" s="50" t="str">
        <f ca="1">IF(I176=C113,I113,"")</f>
        <v/>
      </c>
      <c r="I113" s="11">
        <f t="shared" ca="1" si="18"/>
        <v>30.8</v>
      </c>
      <c r="J113" s="11"/>
      <c r="K113" s="11"/>
      <c r="L113" s="11"/>
      <c r="M113" s="11"/>
      <c r="N113" s="11"/>
      <c r="O113" s="11"/>
      <c r="Q113" s="11"/>
      <c r="R113" s="11"/>
      <c r="S113" s="11"/>
      <c r="T113" s="11"/>
      <c r="U113" s="11"/>
      <c r="V113" s="11"/>
      <c r="X113" s="11"/>
    </row>
    <row r="114" spans="1:24" x14ac:dyDescent="0.3">
      <c r="A114" s="11">
        <f ca="1">'FALL 2'!A114</f>
        <v>33.284811034336883</v>
      </c>
      <c r="B114" s="11">
        <f ca="1">'FALL 2'!B114</f>
        <v>33.716555255162135</v>
      </c>
      <c r="C114" s="11">
        <f t="shared" si="19"/>
        <v>41</v>
      </c>
      <c r="D114" s="11">
        <f ca="1">(IF(C114=0,"",B114*0.01*(K77-K78)+K78))</f>
        <v>34.042256984499751</v>
      </c>
      <c r="E114" s="11"/>
      <c r="F114" s="11">
        <f ca="1">IF(D114="","",(LN((LN((1-D114/100)))/-B50)/-B51))</f>
        <v>30.776206961262432</v>
      </c>
      <c r="G114" s="11">
        <f t="shared" ca="1" si="17"/>
        <v>34.042256984499751</v>
      </c>
      <c r="H114" s="50" t="str">
        <f ca="1">IF(I176=C114,I114,"")</f>
        <v/>
      </c>
      <c r="I114" s="11">
        <f t="shared" ca="1" si="18"/>
        <v>30.8</v>
      </c>
      <c r="J114" s="11"/>
      <c r="K114" s="11"/>
      <c r="L114" s="11"/>
      <c r="M114" s="11"/>
      <c r="N114" s="11"/>
      <c r="O114" s="11"/>
      <c r="Q114" s="11"/>
      <c r="R114" s="11"/>
      <c r="S114" s="11"/>
      <c r="T114" s="11"/>
      <c r="U114" s="11"/>
      <c r="V114" s="11"/>
      <c r="X114" s="11"/>
    </row>
    <row r="115" spans="1:24" x14ac:dyDescent="0.3">
      <c r="A115" s="11">
        <f ca="1">'FALL 2'!A115</f>
        <v>42.64756325440645</v>
      </c>
      <c r="B115" s="11">
        <f ca="1">'FALL 2'!B115</f>
        <v>34.688641730273304</v>
      </c>
      <c r="C115" s="11">
        <f t="shared" si="19"/>
        <v>42</v>
      </c>
      <c r="D115" s="11">
        <f ca="1">IF(C115=0,"",(B115*0.01*(K77-K78)+K78))</f>
        <v>34.99490267676282</v>
      </c>
      <c r="E115" s="11"/>
      <c r="F115" s="11">
        <f ca="1">IF(D115="","",(LN((LN((1-D115/100)))/-B50)/-B51))</f>
        <v>31.050999709834649</v>
      </c>
      <c r="G115" s="11">
        <f t="shared" ca="1" si="17"/>
        <v>34.99490267676282</v>
      </c>
      <c r="H115" s="50" t="str">
        <f ca="1">IF(I176=C115,I115,"")</f>
        <v/>
      </c>
      <c r="I115" s="11">
        <f t="shared" ca="1" si="18"/>
        <v>31.1</v>
      </c>
      <c r="J115" s="11"/>
      <c r="K115" s="11"/>
      <c r="L115" s="11"/>
      <c r="M115" s="11"/>
      <c r="N115" s="11"/>
      <c r="O115" s="11"/>
      <c r="Q115" s="11"/>
      <c r="R115" s="11"/>
      <c r="S115" s="11"/>
      <c r="T115" s="11"/>
      <c r="U115" s="11"/>
      <c r="V115" s="11"/>
      <c r="X115" s="11"/>
    </row>
    <row r="116" spans="1:24" x14ac:dyDescent="0.3">
      <c r="A116" s="11">
        <f ca="1">'FALL 2'!A116</f>
        <v>6.0767745995305233</v>
      </c>
      <c r="B116" s="11">
        <f ca="1">'FALL 2'!B116</f>
        <v>38.485894582626536</v>
      </c>
      <c r="C116" s="11">
        <f t="shared" si="19"/>
        <v>43</v>
      </c>
      <c r="D116" s="11">
        <f ca="1">(IF(C116=0,"",B116*0.01*(K77-K78)+K78))</f>
        <v>38.716214169975643</v>
      </c>
      <c r="E116" s="11"/>
      <c r="F116" s="11">
        <f ca="1">IF(D116="","",(LN((LN((1-D116/100)))/-B50)/-B51))</f>
        <v>32.076834809837962</v>
      </c>
      <c r="G116" s="11">
        <f t="shared" ca="1" si="17"/>
        <v>38.716214169975643</v>
      </c>
      <c r="H116" s="50" t="str">
        <f ca="1">IF(I176=C116,I116,"")</f>
        <v/>
      </c>
      <c r="I116" s="11">
        <f t="shared" ca="1" si="18"/>
        <v>32.1</v>
      </c>
      <c r="J116" s="11"/>
      <c r="K116" s="11"/>
      <c r="L116" s="11"/>
      <c r="M116" s="11"/>
      <c r="N116" s="11"/>
      <c r="O116" s="11"/>
      <c r="Q116" s="11"/>
      <c r="R116" s="11"/>
      <c r="S116" s="11"/>
      <c r="T116" s="11"/>
      <c r="U116" s="11"/>
      <c r="V116" s="11"/>
      <c r="X116" s="11"/>
    </row>
    <row r="117" spans="1:24" x14ac:dyDescent="0.3">
      <c r="A117" s="11">
        <f ca="1">'FALL 2'!A117</f>
        <v>82.170865037115789</v>
      </c>
      <c r="B117" s="11">
        <f ca="1">'FALL 2'!B117</f>
        <v>40.248097189293503</v>
      </c>
      <c r="C117" s="11">
        <f t="shared" si="19"/>
        <v>44</v>
      </c>
      <c r="D117" s="11">
        <f ca="1">IF(C117=0,"",(B117*0.01*(K77-K78)+K78))</f>
        <v>40.44317444060799</v>
      </c>
      <c r="E117" s="11"/>
      <c r="F117" s="11">
        <f ca="1">IF(D117="","",(LN((LN((1-D117/100)))/-B50)/-B51))</f>
        <v>32.530550641312388</v>
      </c>
      <c r="G117" s="11">
        <f t="shared" ca="1" si="17"/>
        <v>40.44317444060799</v>
      </c>
      <c r="H117" s="50" t="str">
        <f ca="1">IF(I176=C117,I117,"")</f>
        <v/>
      </c>
      <c r="I117" s="11">
        <f t="shared" ca="1" si="18"/>
        <v>32.5</v>
      </c>
      <c r="J117" s="11"/>
      <c r="K117" s="11"/>
      <c r="L117" s="11"/>
      <c r="M117" s="11"/>
      <c r="N117" s="11"/>
      <c r="O117" s="11"/>
      <c r="Q117" s="11"/>
      <c r="R117" s="11"/>
      <c r="S117" s="11"/>
      <c r="T117" s="11"/>
      <c r="U117" s="11"/>
      <c r="V117" s="11"/>
      <c r="X117" s="11"/>
    </row>
    <row r="118" spans="1:24" x14ac:dyDescent="0.3">
      <c r="A118" s="11">
        <f ca="1">'FALL 2'!A118</f>
        <v>75.343875189459823</v>
      </c>
      <c r="B118" s="11">
        <f ca="1">'FALL 2'!B118</f>
        <v>40.887985740747538</v>
      </c>
      <c r="C118" s="11">
        <f t="shared" si="19"/>
        <v>45</v>
      </c>
      <c r="D118" s="11">
        <f ca="1">IF(C118=0,"",(B118*0.01*(K77-K78)+K78))</f>
        <v>41.070265844180319</v>
      </c>
      <c r="E118" s="11"/>
      <c r="F118" s="11">
        <f ca="1">IF(D118="","",(LN((LN((1-D118/100)))/-B50)/-B51))</f>
        <v>32.692243521585702</v>
      </c>
      <c r="G118" s="11">
        <f t="shared" ca="1" si="17"/>
        <v>41.070265844180319</v>
      </c>
      <c r="H118" s="50" t="str">
        <f ca="1">IF(I176=C118,I118,"")</f>
        <v/>
      </c>
      <c r="I118" s="11">
        <f t="shared" ca="1" si="18"/>
        <v>32.700000000000003</v>
      </c>
      <c r="J118" s="11"/>
      <c r="K118" s="11"/>
      <c r="L118" s="11"/>
      <c r="M118" s="11"/>
      <c r="N118" s="11"/>
      <c r="O118" s="11"/>
      <c r="Q118" s="11"/>
      <c r="R118" s="11"/>
      <c r="S118" s="11"/>
      <c r="T118" s="11"/>
      <c r="U118" s="11"/>
      <c r="V118" s="11"/>
      <c r="X118" s="11"/>
    </row>
    <row r="119" spans="1:24" x14ac:dyDescent="0.3">
      <c r="A119" s="11">
        <f ca="1">'FALL 2'!A119</f>
        <v>69.999571086914443</v>
      </c>
      <c r="B119" s="11">
        <f ca="1">'FALL 2'!B119</f>
        <v>41.943122432623468</v>
      </c>
      <c r="C119" s="11">
        <f t="shared" si="19"/>
        <v>46</v>
      </c>
      <c r="D119" s="11">
        <f ca="1">IF(C119=0,"",(B119*0.01*(K77-K78)+K78))</f>
        <v>42.104300829750251</v>
      </c>
      <c r="E119" s="11"/>
      <c r="F119" s="11">
        <f ca="1">IF(D119="","",(LN((LN((1-D119/100)))/-B50)/-B51))</f>
        <v>32.955562011163856</v>
      </c>
      <c r="G119" s="11">
        <f t="shared" ca="1" si="17"/>
        <v>42.104300829750251</v>
      </c>
      <c r="H119" s="50" t="str">
        <f ca="1">IF(I176=C119,I119,"")</f>
        <v/>
      </c>
      <c r="I119" s="11">
        <f t="shared" ca="1" si="18"/>
        <v>33</v>
      </c>
      <c r="J119" s="11"/>
      <c r="K119" s="11"/>
      <c r="L119" s="11"/>
      <c r="M119" s="11"/>
      <c r="N119" s="11"/>
      <c r="O119" s="11"/>
      <c r="Q119" s="11"/>
      <c r="R119" s="11"/>
      <c r="S119" s="11"/>
      <c r="T119" s="11"/>
      <c r="U119" s="11"/>
      <c r="V119" s="11"/>
      <c r="X119" s="11"/>
    </row>
    <row r="120" spans="1:24" x14ac:dyDescent="0.3">
      <c r="A120" s="11">
        <f ca="1">'FALL 2'!A120</f>
        <v>46.519875010849667</v>
      </c>
      <c r="B120" s="11">
        <f ca="1">'FALL 2'!B120</f>
        <v>42.527251835919955</v>
      </c>
      <c r="C120" s="11">
        <f t="shared" si="19"/>
        <v>47</v>
      </c>
      <c r="D120" s="11">
        <f ca="1">(IF(C120=0,"",B120*0.01*(K77-K78)+K78))</f>
        <v>42.676748213827842</v>
      </c>
      <c r="E120" s="11"/>
      <c r="F120" s="11">
        <f ca="1">IF(D120="","",(LN((LN((1-D120/100)))/-B50)/-B51))</f>
        <v>33.099653530220408</v>
      </c>
      <c r="G120" s="11">
        <f t="shared" ca="1" si="17"/>
        <v>42.676748213827842</v>
      </c>
      <c r="H120" s="50" t="str">
        <f ca="1">IF(I176=C120,I120,"")</f>
        <v/>
      </c>
      <c r="I120" s="11">
        <f t="shared" ca="1" si="18"/>
        <v>33.1</v>
      </c>
      <c r="J120" s="11"/>
      <c r="K120" s="11"/>
      <c r="L120" s="11"/>
      <c r="M120" s="11"/>
      <c r="N120" s="11"/>
      <c r="O120" s="11"/>
      <c r="Q120" s="11"/>
      <c r="R120" s="11"/>
      <c r="S120" s="11"/>
      <c r="T120" s="11"/>
      <c r="U120" s="11"/>
      <c r="V120" s="11"/>
      <c r="X120" s="11"/>
    </row>
    <row r="121" spans="1:24" x14ac:dyDescent="0.3">
      <c r="A121" s="11">
        <f ca="1">'FALL 2'!A121</f>
        <v>19.165157236496931</v>
      </c>
      <c r="B121" s="11">
        <f ca="1">'FALL 2'!B121</f>
        <v>42.64756325440645</v>
      </c>
      <c r="C121" s="11">
        <f t="shared" si="19"/>
        <v>48</v>
      </c>
      <c r="D121" s="11">
        <f ca="1">IF(C121=0,"",(B121*0.01*(K77-K78)+K78))</f>
        <v>42.794653521108359</v>
      </c>
      <c r="E121" s="11"/>
      <c r="F121" s="11">
        <f ca="1">IF(D121="","",(LN((LN((1-D121/100)))/-B50)/-B51))</f>
        <v>33.129188311665075</v>
      </c>
      <c r="G121" s="11">
        <f t="shared" ca="1" si="17"/>
        <v>42.794653521108359</v>
      </c>
      <c r="H121" s="50" t="str">
        <f ca="1">IF(I176=C121,I121,"")</f>
        <v/>
      </c>
      <c r="I121" s="11">
        <f t="shared" ca="1" si="18"/>
        <v>33.1</v>
      </c>
      <c r="J121" s="11"/>
      <c r="K121" s="11"/>
      <c r="L121" s="11"/>
      <c r="M121" s="11"/>
      <c r="N121" s="11"/>
      <c r="O121" s="11"/>
      <c r="Q121" s="11"/>
      <c r="R121" s="11"/>
      <c r="S121" s="11"/>
      <c r="T121" s="11"/>
      <c r="U121" s="11"/>
      <c r="V121" s="11"/>
      <c r="X121" s="11"/>
    </row>
    <row r="122" spans="1:24" x14ac:dyDescent="0.3">
      <c r="A122" s="11">
        <f ca="1">'FALL 2'!A122</f>
        <v>47.174797672067406</v>
      </c>
      <c r="B122" s="11">
        <f ca="1">'FALL 2'!B122</f>
        <v>42.764662812604882</v>
      </c>
      <c r="C122" s="11">
        <f t="shared" si="19"/>
        <v>49</v>
      </c>
      <c r="D122" s="11">
        <f ca="1">IF(C122=0,"",(B122*0.01*(K77-K78)+K78))</f>
        <v>42.909411202178745</v>
      </c>
      <c r="E122" s="11"/>
      <c r="F122" s="11">
        <f ca="1">IF(D122="","",(LN((LN((1-D122/100)))/-B50)/-B51))</f>
        <v>33.157888453039241</v>
      </c>
      <c r="G122" s="11">
        <f t="shared" ca="1" si="17"/>
        <v>42.909411202178745</v>
      </c>
      <c r="H122" s="50" t="str">
        <f ca="1">IF(I176=C122,I122,"")</f>
        <v/>
      </c>
      <c r="I122" s="11">
        <f t="shared" ca="1" si="18"/>
        <v>33.200000000000003</v>
      </c>
      <c r="J122" s="11"/>
      <c r="K122" s="11"/>
      <c r="L122" s="11"/>
      <c r="M122" s="11"/>
      <c r="N122" s="11"/>
      <c r="O122" s="11"/>
      <c r="Q122" s="11"/>
      <c r="R122" s="11"/>
      <c r="S122" s="11"/>
      <c r="T122" s="11"/>
      <c r="U122" s="11"/>
      <c r="V122" s="11"/>
      <c r="X122" s="11"/>
    </row>
    <row r="123" spans="1:24" x14ac:dyDescent="0.3">
      <c r="A123" s="11">
        <f ca="1">'FALL 2'!A123</f>
        <v>5.7089520016855859</v>
      </c>
      <c r="B123" s="11">
        <f ca="1">'FALL 2'!B123</f>
        <v>45.096774778301601</v>
      </c>
      <c r="C123" s="11">
        <f t="shared" si="19"/>
        <v>50</v>
      </c>
      <c r="D123" s="11">
        <f ca="1">(IF(C123=0,"",B123*0.01*(K77-K78)+K78))</f>
        <v>45.194883199659266</v>
      </c>
      <c r="E123" s="11"/>
      <c r="F123" s="11">
        <f ca="1">IF(D123="","",(LN((LN((1-D123/100)))/-B50)/-B51))</f>
        <v>33.720501826513313</v>
      </c>
      <c r="G123" s="11">
        <f t="shared" ca="1" si="17"/>
        <v>45.194883199659266</v>
      </c>
      <c r="H123" s="50" t="str">
        <f ca="1">IF(I176=C123,I123,"")</f>
        <v/>
      </c>
      <c r="I123" s="11">
        <f t="shared" ca="1" si="18"/>
        <v>33.700000000000003</v>
      </c>
      <c r="J123" s="11"/>
      <c r="K123" s="11"/>
      <c r="L123" s="11"/>
      <c r="M123" s="11"/>
      <c r="N123" s="11"/>
      <c r="O123" s="11"/>
      <c r="Q123" s="11"/>
      <c r="R123" s="11"/>
      <c r="S123" s="11"/>
      <c r="T123" s="11"/>
      <c r="U123" s="11"/>
      <c r="V123" s="11"/>
      <c r="X123" s="11"/>
    </row>
    <row r="124" spans="1:24" x14ac:dyDescent="0.3">
      <c r="A124" s="11">
        <f ca="1">'FALL 2'!A124</f>
        <v>82.996098998149179</v>
      </c>
      <c r="B124" s="11">
        <f ca="1">'FALL 2'!B124</f>
        <v>45.131435825901526</v>
      </c>
      <c r="C124" s="11">
        <f t="shared" si="19"/>
        <v>51</v>
      </c>
      <c r="D124" s="11">
        <f ca="1">IF(C124=0,"",(B124*0.01*(K77-K78)+K78))</f>
        <v>45.228851060061423</v>
      </c>
      <c r="E124" s="11"/>
      <c r="F124" s="11">
        <f ca="1">IF(D124="","",(LN((LN((1-D124/100)))/-B50)/-B51))</f>
        <v>33.728741833235404</v>
      </c>
      <c r="G124" s="11">
        <f t="shared" ca="1" si="17"/>
        <v>45.228851060061423</v>
      </c>
      <c r="H124" s="50" t="str">
        <f ca="1">IF(I176=C124,I124,"")</f>
        <v/>
      </c>
      <c r="I124" s="11">
        <f t="shared" ca="1" si="18"/>
        <v>33.700000000000003</v>
      </c>
      <c r="J124" s="11"/>
      <c r="K124" s="11"/>
      <c r="L124" s="11"/>
      <c r="M124" s="11"/>
      <c r="N124" s="11"/>
      <c r="O124" s="11"/>
      <c r="Q124" s="11"/>
      <c r="R124" s="11"/>
      <c r="S124" s="11"/>
      <c r="T124" s="11"/>
      <c r="U124" s="11"/>
      <c r="V124" s="11"/>
      <c r="X124" s="11"/>
    </row>
    <row r="125" spans="1:24" x14ac:dyDescent="0.3">
      <c r="A125" s="11">
        <f ca="1">'FALL 2'!A125</f>
        <v>77.294214300749587</v>
      </c>
      <c r="B125" s="11">
        <f ca="1">'FALL 2'!B125</f>
        <v>45.47883392341403</v>
      </c>
      <c r="C125" s="11">
        <f t="shared" si="19"/>
        <v>52</v>
      </c>
      <c r="D125" s="11">
        <f ca="1">IF(C125=0,"",(B125*0.01*(K77-K78)+K78))</f>
        <v>45.569301533932915</v>
      </c>
      <c r="E125" s="11"/>
      <c r="F125" s="11">
        <f ca="1">IF(D125="","",(LN((LN((1-D125/100)))/-B50)/-B51))</f>
        <v>33.811143887807177</v>
      </c>
      <c r="G125" s="11">
        <f t="shared" ca="1" si="17"/>
        <v>45.569301533932915</v>
      </c>
      <c r="H125" s="50" t="str">
        <f ca="1">IF(I176=C125,I125,"")</f>
        <v/>
      </c>
      <c r="I125" s="11">
        <f t="shared" ca="1" si="18"/>
        <v>33.799999999999997</v>
      </c>
      <c r="J125" s="11"/>
      <c r="K125" s="11"/>
      <c r="L125" s="11"/>
      <c r="M125" s="11"/>
      <c r="N125" s="11"/>
      <c r="O125" s="11"/>
      <c r="Q125" s="11"/>
      <c r="R125" s="11"/>
      <c r="S125" s="11"/>
      <c r="T125" s="11"/>
      <c r="U125" s="11"/>
      <c r="V125" s="11"/>
      <c r="X125" s="11"/>
    </row>
    <row r="126" spans="1:24" x14ac:dyDescent="0.3">
      <c r="A126" s="11">
        <f ca="1">'FALL 2'!A126</f>
        <v>2.3210931377733552</v>
      </c>
      <c r="B126" s="11">
        <f ca="1">'FALL 2'!B126</f>
        <v>45.645021212545792</v>
      </c>
      <c r="C126" s="11">
        <f t="shared" si="19"/>
        <v>53</v>
      </c>
      <c r="D126" s="11">
        <f ca="1">IF(C126=0,"",(B126*0.01*(K77-K78)+K78))</f>
        <v>45.732165239121436</v>
      </c>
      <c r="E126" s="11"/>
      <c r="F126" s="11">
        <f ca="1">IF(D126="","",(LN((LN((1-D126/100)))/-B50)/-B51))</f>
        <v>33.850445502420122</v>
      </c>
      <c r="G126" s="11">
        <f t="shared" ca="1" si="17"/>
        <v>45.732165239121436</v>
      </c>
      <c r="H126" s="50" t="str">
        <f ca="1">IF(I176=C126,I126,"")</f>
        <v/>
      </c>
      <c r="I126" s="11">
        <f t="shared" ca="1" si="18"/>
        <v>33.9</v>
      </c>
      <c r="J126" s="11"/>
      <c r="K126" s="11"/>
      <c r="L126" s="11"/>
      <c r="M126" s="11"/>
      <c r="N126" s="11"/>
      <c r="O126" s="11"/>
      <c r="Q126" s="11"/>
      <c r="R126" s="11"/>
      <c r="S126" s="11"/>
      <c r="T126" s="11"/>
      <c r="U126" s="11"/>
      <c r="V126" s="11"/>
      <c r="X126" s="11"/>
    </row>
    <row r="127" spans="1:24" x14ac:dyDescent="0.3">
      <c r="A127" s="11">
        <f ca="1">'FALL 2'!A127</f>
        <v>22.66610817703523</v>
      </c>
      <c r="B127" s="11">
        <f ca="1">'FALL 2'!B127</f>
        <v>46.064691747729199</v>
      </c>
      <c r="C127" s="11">
        <f t="shared" si="19"/>
        <v>54</v>
      </c>
      <c r="D127" s="11">
        <f ca="1">(IF(C127=0,"",B127*0.01*(K77-K78)+K78))</f>
        <v>46.143442772292019</v>
      </c>
      <c r="E127" s="11"/>
      <c r="F127" s="11">
        <f ca="1">IF(D127="","",(LN((LN((1-D127/100)))/-B50)/-B51))</f>
        <v>33.94936169012913</v>
      </c>
      <c r="G127" s="11">
        <f t="shared" ca="1" si="17"/>
        <v>46.143442772292019</v>
      </c>
      <c r="H127" s="50" t="str">
        <f ca="1">IF(I176=C127,I127,"")</f>
        <v/>
      </c>
      <c r="I127" s="11">
        <f t="shared" ca="1" si="18"/>
        <v>33.9</v>
      </c>
      <c r="J127" s="11"/>
      <c r="K127" s="11"/>
      <c r="L127" s="11"/>
      <c r="M127" s="11"/>
      <c r="N127" s="11"/>
      <c r="O127" s="11"/>
      <c r="Q127" s="11"/>
      <c r="R127" s="11"/>
      <c r="S127" s="11"/>
      <c r="T127" s="11"/>
      <c r="U127" s="11"/>
      <c r="V127" s="11"/>
      <c r="X127" s="11"/>
    </row>
    <row r="128" spans="1:24" x14ac:dyDescent="0.3">
      <c r="A128" s="11">
        <f ca="1">'FALL 2'!A128</f>
        <v>64.209943240490091</v>
      </c>
      <c r="B128" s="11">
        <f ca="1">'FALL 2'!B128</f>
        <v>46.519875010849667</v>
      </c>
      <c r="C128" s="11">
        <f t="shared" si="19"/>
        <v>55</v>
      </c>
      <c r="D128" s="11">
        <f ca="1">IF(C128=0,"",(B128*0.01*(K77-K78)+K78))</f>
        <v>46.58952281342453</v>
      </c>
      <c r="E128" s="11"/>
      <c r="F128" s="11">
        <f ca="1">IF(D128="","",(LN((LN((1-D128/100)))/-B50)/-B51))</f>
        <v>34.056123905919037</v>
      </c>
      <c r="G128" s="11">
        <f t="shared" ca="1" si="17"/>
        <v>46.58952281342453</v>
      </c>
      <c r="H128" s="50" t="str">
        <f ca="1">IF(I176=C128,I128,"")</f>
        <v/>
      </c>
      <c r="I128" s="11">
        <f t="shared" ca="1" si="18"/>
        <v>34.1</v>
      </c>
      <c r="J128" s="11"/>
      <c r="K128" s="11"/>
      <c r="L128" s="11"/>
      <c r="M128" s="11"/>
      <c r="N128" s="11"/>
      <c r="O128" s="11"/>
      <c r="Q128" s="11"/>
      <c r="R128" s="11"/>
      <c r="S128" s="11"/>
      <c r="T128" s="11"/>
      <c r="U128" s="11"/>
      <c r="V128" s="11"/>
      <c r="X128" s="11"/>
    </row>
    <row r="129" spans="1:24" x14ac:dyDescent="0.3">
      <c r="A129" s="11">
        <f ca="1">'FALL 2'!A129</f>
        <v>41.943122432623468</v>
      </c>
      <c r="B129" s="11">
        <f ca="1">'FALL 2'!B129</f>
        <v>47.174797672067406</v>
      </c>
      <c r="C129" s="11">
        <f t="shared" si="19"/>
        <v>56</v>
      </c>
      <c r="D129" s="11">
        <f ca="1">IF(C129=0,"",(B129*0.01*(K77-K78)+K78))</f>
        <v>47.231347659206072</v>
      </c>
      <c r="E129" s="11"/>
      <c r="F129" s="11">
        <f ca="1">IF(D129="","",(LN((LN((1-D129/100)))/-B50)/-B51))</f>
        <v>34.208811163743867</v>
      </c>
      <c r="G129" s="11">
        <f t="shared" ca="1" si="17"/>
        <v>47.231347659206072</v>
      </c>
      <c r="H129" s="50" t="str">
        <f ca="1">IF(I176=C129,I129,"")</f>
        <v/>
      </c>
      <c r="I129" s="11">
        <f t="shared" ca="1" si="18"/>
        <v>34.200000000000003</v>
      </c>
      <c r="J129" s="11"/>
      <c r="K129" s="11"/>
      <c r="L129" s="11"/>
      <c r="M129" s="11"/>
      <c r="N129" s="11"/>
      <c r="O129" s="11"/>
      <c r="Q129" s="11"/>
      <c r="R129" s="11"/>
      <c r="S129" s="11"/>
      <c r="T129" s="11"/>
      <c r="U129" s="11"/>
      <c r="V129" s="11"/>
      <c r="X129" s="11"/>
    </row>
    <row r="130" spans="1:24" x14ac:dyDescent="0.3">
      <c r="A130" s="11">
        <f ca="1">'FALL 2'!A130</f>
        <v>48.024743567904558</v>
      </c>
      <c r="B130" s="11">
        <f ca="1">'FALL 2'!B130</f>
        <v>48.024743567904558</v>
      </c>
      <c r="C130" s="11">
        <f t="shared" si="19"/>
        <v>57</v>
      </c>
      <c r="D130" s="11">
        <f ca="1">IF(C130=0,"",(B130*0.01*(K77-K78)+K78))</f>
        <v>48.064295464835538</v>
      </c>
      <c r="E130" s="11"/>
      <c r="F130" s="11">
        <f ca="1">IF(D130="","",(LN((LN((1-D130/100)))/-B50)/-B51))</f>
        <v>34.405415636075382</v>
      </c>
      <c r="G130" s="11">
        <f t="shared" ca="1" si="17"/>
        <v>48.064295464835538</v>
      </c>
      <c r="H130" s="50" t="str">
        <f ca="1">IF(I176=C130,I130,"")</f>
        <v/>
      </c>
      <c r="I130" s="11">
        <f t="shared" ca="1" si="18"/>
        <v>34.4</v>
      </c>
      <c r="J130" s="11"/>
      <c r="K130" s="11"/>
      <c r="L130" s="11"/>
      <c r="M130" s="11"/>
      <c r="N130" s="11"/>
      <c r="O130" s="11"/>
      <c r="Q130" s="11"/>
      <c r="R130" s="11"/>
      <c r="S130" s="11"/>
      <c r="T130" s="11"/>
      <c r="U130" s="11"/>
      <c r="V130" s="11"/>
      <c r="X130" s="11"/>
    </row>
    <row r="131" spans="1:24" x14ac:dyDescent="0.3">
      <c r="A131" s="11">
        <f ca="1">'FALL 2'!A131</f>
        <v>57.057053405632232</v>
      </c>
      <c r="B131" s="11">
        <f ca="1">'FALL 2'!B131</f>
        <v>49.691148443190642</v>
      </c>
      <c r="C131" s="11">
        <f t="shared" si="19"/>
        <v>58</v>
      </c>
      <c r="D131" s="11">
        <f ca="1">(IF(C131=0,"",B131*0.01*(K77-K78)+K78))</f>
        <v>49.697373865423209</v>
      </c>
      <c r="E131" s="11"/>
      <c r="F131" s="11">
        <f ca="1">IF(D131="","",(LN((LN((1-D131/100)))/-B50)/-B51))</f>
        <v>34.786177663153119</v>
      </c>
      <c r="G131" s="11">
        <f t="shared" ca="1" si="17"/>
        <v>49.697373865423209</v>
      </c>
      <c r="H131" s="50" t="str">
        <f ca="1">IF(I176=C131,I131,"")</f>
        <v/>
      </c>
      <c r="I131" s="11">
        <f t="shared" ca="1" si="18"/>
        <v>34.799999999999997</v>
      </c>
      <c r="J131" s="11"/>
      <c r="K131" s="11"/>
      <c r="L131" s="11"/>
      <c r="M131" s="11"/>
      <c r="N131" s="11"/>
      <c r="O131" s="11"/>
      <c r="Q131" s="11"/>
      <c r="R131" s="11"/>
      <c r="S131" s="11"/>
      <c r="T131" s="11"/>
      <c r="U131" s="11"/>
      <c r="V131" s="11"/>
      <c r="X131" s="11"/>
    </row>
    <row r="132" spans="1:24" x14ac:dyDescent="0.3">
      <c r="A132" s="11">
        <f ca="1">'FALL 2'!A132</f>
        <v>57.963653871992953</v>
      </c>
      <c r="B132" s="11">
        <f ca="1">'FALL 2'!B132</f>
        <v>49.839586191156599</v>
      </c>
      <c r="C132" s="11">
        <f t="shared" si="19"/>
        <v>59</v>
      </c>
      <c r="D132" s="11">
        <f ca="1">IF(C132=0,"",(B132*0.01*(K77-K78)+K78))</f>
        <v>49.842843002984068</v>
      </c>
      <c r="E132" s="11"/>
      <c r="F132" s="11">
        <f ca="1">IF(D132="","",(LN((LN((1-D132/100)))/-B50)/-B51))</f>
        <v>34.819812597085267</v>
      </c>
      <c r="G132" s="11">
        <f t="shared" ca="1" si="17"/>
        <v>49.842843002984068</v>
      </c>
      <c r="H132" s="50" t="str">
        <f ca="1">IF(I176=C132,I132,"")</f>
        <v/>
      </c>
      <c r="I132" s="11">
        <f t="shared" ca="1" si="18"/>
        <v>34.799999999999997</v>
      </c>
      <c r="J132" s="11"/>
      <c r="K132" s="11"/>
      <c r="L132" s="11"/>
      <c r="M132" s="11"/>
      <c r="N132" s="11"/>
      <c r="O132" s="11"/>
      <c r="Q132" s="11"/>
      <c r="R132" s="11"/>
      <c r="S132" s="11"/>
      <c r="T132" s="11"/>
      <c r="U132" s="11"/>
      <c r="V132" s="11"/>
      <c r="X132" s="11"/>
    </row>
    <row r="133" spans="1:24" x14ac:dyDescent="0.3">
      <c r="A133" s="11">
        <f ca="1">'FALL 2'!A133</f>
        <v>49.839586191156599</v>
      </c>
      <c r="B133" s="11">
        <f ca="1">'FALL 2'!B133</f>
        <v>50.172602681297342</v>
      </c>
      <c r="C133" s="11">
        <f t="shared" si="19"/>
        <v>60</v>
      </c>
      <c r="D133" s="11">
        <f ca="1">IF(C133=0,"",(B133*0.01*(K77-K78)+K78))</f>
        <v>50.169199487625896</v>
      </c>
      <c r="E133" s="11"/>
      <c r="F133" s="11">
        <f ca="1">IF(D133="","",(LN((LN((1-D133/100)))/-B50)/-B51))</f>
        <v>34.895113197525525</v>
      </c>
      <c r="G133" s="11">
        <f t="shared" ca="1" si="17"/>
        <v>50.169199487625896</v>
      </c>
      <c r="H133" s="50" t="str">
        <f ca="1">IF(I176=C133,I133,"")</f>
        <v/>
      </c>
      <c r="I133" s="11">
        <f t="shared" ca="1" si="18"/>
        <v>34.9</v>
      </c>
      <c r="J133" s="11"/>
      <c r="K133" s="11"/>
      <c r="L133" s="11"/>
      <c r="M133" s="11"/>
      <c r="N133" s="11"/>
      <c r="O133" s="11"/>
      <c r="Q133" s="11"/>
      <c r="R133" s="11"/>
      <c r="S133" s="11"/>
      <c r="T133" s="11"/>
      <c r="U133" s="11"/>
      <c r="V133" s="11"/>
      <c r="X133" s="11"/>
    </row>
    <row r="134" spans="1:24" x14ac:dyDescent="0.3">
      <c r="A134" s="11">
        <f ca="1">'FALL 2'!A134</f>
        <v>10.53043649250084</v>
      </c>
      <c r="B134" s="11">
        <f ca="1">'FALL 2'!B134</f>
        <v>54.990009558994942</v>
      </c>
      <c r="C134" s="11">
        <f t="shared" si="19"/>
        <v>61</v>
      </c>
      <c r="D134" s="11">
        <f ca="1">IF(C134=0,"",(B134*0.01*(K77-K78)+K78))</f>
        <v>54.890262919140298</v>
      </c>
      <c r="E134" s="11"/>
      <c r="F134" s="11">
        <f ca="1">IF(D134="","",(LN((LN((1-D134/100)))/-B50)/-B51))</f>
        <v>35.963254814160081</v>
      </c>
      <c r="G134" s="11">
        <f t="shared" ca="1" si="17"/>
        <v>54.890262919140298</v>
      </c>
      <c r="H134" s="50" t="str">
        <f ca="1">IF(I176=C134,I134,"")</f>
        <v/>
      </c>
      <c r="I134" s="11">
        <f t="shared" ca="1" si="18"/>
        <v>36</v>
      </c>
      <c r="J134" s="11"/>
      <c r="K134" s="11"/>
      <c r="L134" s="11"/>
      <c r="M134" s="11"/>
      <c r="N134" s="11"/>
      <c r="O134" s="11"/>
      <c r="Q134" s="11"/>
      <c r="R134" s="11"/>
      <c r="S134" s="11"/>
      <c r="T134" s="11"/>
      <c r="U134" s="11"/>
      <c r="V134" s="11"/>
      <c r="X134" s="11"/>
    </row>
    <row r="135" spans="1:24" x14ac:dyDescent="0.3">
      <c r="A135" s="11">
        <f ca="1">'FALL 2'!A135</f>
        <v>45.131435825901526</v>
      </c>
      <c r="B135" s="11">
        <f ca="1">'FALL 2'!B135</f>
        <v>55.921474171140048</v>
      </c>
      <c r="C135" s="11">
        <f t="shared" si="19"/>
        <v>62</v>
      </c>
      <c r="D135" s="11">
        <f ca="1">(IF(C135=0,"",B135*0.01*(K77-K78)+K78))</f>
        <v>55.803099146137534</v>
      </c>
      <c r="E135" s="11"/>
      <c r="F135" s="11">
        <f ca="1">IF(D135="","",(LN((LN((1-D135/100)))/-B50)/-B51))</f>
        <v>36.166026631201717</v>
      </c>
      <c r="G135" s="11">
        <f t="shared" ca="1" si="17"/>
        <v>55.803099146137534</v>
      </c>
      <c r="H135" s="50" t="str">
        <f ca="1">IF(I176=C135,I135,"")</f>
        <v/>
      </c>
      <c r="I135" s="11">
        <f t="shared" ca="1" si="18"/>
        <v>36.200000000000003</v>
      </c>
      <c r="J135" s="11"/>
      <c r="K135" s="11"/>
      <c r="L135" s="11"/>
      <c r="M135" s="11"/>
      <c r="N135" s="11"/>
      <c r="O135" s="11"/>
      <c r="Q135" s="11"/>
      <c r="R135" s="11"/>
      <c r="S135" s="11"/>
      <c r="T135" s="11"/>
      <c r="U135" s="11"/>
      <c r="V135" s="11"/>
      <c r="X135" s="11"/>
    </row>
    <row r="136" spans="1:24" x14ac:dyDescent="0.3">
      <c r="A136" s="11">
        <f ca="1">'FALL 2'!A136</f>
        <v>8.6086870533608284</v>
      </c>
      <c r="B136" s="11">
        <f ca="1">'FALL 2'!B136</f>
        <v>57.057053405632232</v>
      </c>
      <c r="C136" s="11">
        <f t="shared" si="19"/>
        <v>63</v>
      </c>
      <c r="D136" s="11">
        <f ca="1">IF(C136=0,"",(B136*0.01*(K77-K78)+K78))</f>
        <v>56.915967901809346</v>
      </c>
      <c r="E136" s="11"/>
      <c r="F136" s="11">
        <f ca="1">IF(D136="","",(LN((LN((1-D136/100)))/-B50)/-B51))</f>
        <v>36.411973634421614</v>
      </c>
      <c r="G136" s="11">
        <f t="shared" ca="1" si="17"/>
        <v>56.915967901809346</v>
      </c>
      <c r="H136" s="50" t="str">
        <f ca="1">IF(I176=C136,I136,"")</f>
        <v/>
      </c>
      <c r="I136" s="11">
        <f t="shared" ca="1" si="18"/>
        <v>36.4</v>
      </c>
      <c r="J136" s="11"/>
      <c r="K136" s="11"/>
      <c r="L136" s="11"/>
      <c r="M136" s="11"/>
      <c r="N136" s="11"/>
      <c r="O136" s="11"/>
      <c r="Q136" s="11"/>
      <c r="R136" s="11"/>
      <c r="S136" s="11"/>
      <c r="T136" s="11"/>
      <c r="U136" s="11"/>
      <c r="V136" s="11"/>
      <c r="X136" s="11"/>
    </row>
    <row r="137" spans="1:24" x14ac:dyDescent="0.3">
      <c r="A137" s="11">
        <f ca="1">'FALL 2'!A137</f>
        <v>18.096694046407926</v>
      </c>
      <c r="B137" s="11">
        <f ca="1">'FALL 2'!B137</f>
        <v>57.231159567227657</v>
      </c>
      <c r="C137" s="11">
        <f t="shared" si="19"/>
        <v>64</v>
      </c>
      <c r="D137" s="11">
        <f ca="1">IF(C137=0,"",(B137*0.01*(K77-K78)+K78))</f>
        <v>57.086592109723952</v>
      </c>
      <c r="E137" s="11"/>
      <c r="F137" s="11">
        <f ca="1">IF(D137="","",(LN((LN((1-D137/100)))/-B50)/-B51))</f>
        <v>36.449571787010967</v>
      </c>
      <c r="G137" s="11">
        <f t="shared" ca="1" si="17"/>
        <v>57.086592109723952</v>
      </c>
      <c r="H137" s="50" t="str">
        <f ca="1">IF(I176=C137,I137,"")</f>
        <v/>
      </c>
      <c r="I137" s="11">
        <f t="shared" ca="1" si="18"/>
        <v>36.4</v>
      </c>
      <c r="J137" s="11"/>
      <c r="K137" s="11"/>
      <c r="L137" s="11"/>
      <c r="M137" s="11"/>
      <c r="N137" s="11"/>
      <c r="O137" s="11"/>
      <c r="Q137" s="11"/>
      <c r="R137" s="11"/>
      <c r="S137" s="11"/>
      <c r="T137" s="11"/>
      <c r="U137" s="11"/>
      <c r="V137" s="11"/>
      <c r="X137" s="11"/>
    </row>
    <row r="138" spans="1:24" x14ac:dyDescent="0.3">
      <c r="A138" s="11">
        <f ca="1">'FALL 2'!A138</f>
        <v>15.018448098362695</v>
      </c>
      <c r="B138" s="11">
        <f ca="1">'FALL 2'!B138</f>
        <v>57.963653871992953</v>
      </c>
      <c r="C138" s="11">
        <f t="shared" si="19"/>
        <v>65</v>
      </c>
      <c r="D138" s="11">
        <f ca="1">IF(C138=0,"",(B138*0.01*(K77-K78)+K78))</f>
        <v>57.804437241724258</v>
      </c>
      <c r="E138" s="11"/>
      <c r="F138" s="11">
        <f ca="1">IF(D138="","",(LN((LN((1-D138/100)))/-B50)/-B51))</f>
        <v>36.607464307993133</v>
      </c>
      <c r="G138" s="11">
        <f t="shared" ref="G138:G173" ca="1" si="20">D138</f>
        <v>57.804437241724258</v>
      </c>
      <c r="H138" s="50" t="str">
        <f ca="1">IF(I176=C138,I138,"")</f>
        <v/>
      </c>
      <c r="I138" s="11">
        <f t="shared" ref="I138:I173" ca="1" si="21">IF(F138="","",ROUND(F138,1))</f>
        <v>36.6</v>
      </c>
      <c r="J138" s="11"/>
      <c r="K138" s="11"/>
      <c r="L138" s="11"/>
      <c r="M138" s="11"/>
      <c r="N138" s="11"/>
      <c r="O138" s="11"/>
      <c r="Q138" s="11"/>
      <c r="R138" s="11"/>
      <c r="S138" s="11"/>
      <c r="T138" s="11"/>
      <c r="U138" s="11"/>
      <c r="V138" s="11"/>
      <c r="X138" s="11"/>
    </row>
    <row r="139" spans="1:24" x14ac:dyDescent="0.3">
      <c r="A139" s="11">
        <f ca="1">'FALL 2'!A139</f>
        <v>22.363985131911313</v>
      </c>
      <c r="B139" s="11">
        <f ca="1">'FALL 2'!B139</f>
        <v>58.464920340926298</v>
      </c>
      <c r="C139" s="11">
        <f t="shared" si="19"/>
        <v>66</v>
      </c>
      <c r="D139" s="11">
        <f ca="1">IF(C139=0,"",(B139*0.01*(K77-K78)+K78))</f>
        <v>58.295678869430937</v>
      </c>
      <c r="E139" s="11"/>
      <c r="F139" s="11">
        <f ca="1">IF(D139="","",(LN((LN((1-D139/100)))/-B50)/-B51))</f>
        <v>36.71526555105163</v>
      </c>
      <c r="G139" s="11">
        <f t="shared" ca="1" si="20"/>
        <v>58.295678869430937</v>
      </c>
      <c r="H139" s="50" t="str">
        <f>IF(176=C139,I139,"")</f>
        <v/>
      </c>
      <c r="I139" s="11">
        <f t="shared" ca="1" si="21"/>
        <v>36.700000000000003</v>
      </c>
      <c r="J139" s="11"/>
      <c r="K139" s="11"/>
      <c r="L139" s="11"/>
      <c r="M139" s="11"/>
      <c r="N139" s="11"/>
      <c r="O139" s="11"/>
      <c r="Q139" s="11"/>
      <c r="R139" s="11"/>
      <c r="S139" s="11"/>
      <c r="T139" s="11"/>
      <c r="U139" s="11"/>
      <c r="V139" s="11"/>
      <c r="X139" s="11"/>
    </row>
    <row r="140" spans="1:24" x14ac:dyDescent="0.3">
      <c r="A140" s="11">
        <f ca="1">'FALL 2'!A140</f>
        <v>20.069201538126915</v>
      </c>
      <c r="B140" s="11">
        <f ca="1">'FALL 2'!B140</f>
        <v>61.62027419648895</v>
      </c>
      <c r="C140" s="11">
        <f t="shared" ref="C140:C173" si="22">(C139+1)</f>
        <v>67</v>
      </c>
      <c r="D140" s="11">
        <f ca="1">IF(C140=0,"",(B140*0.01*(K77-K78)+K78))</f>
        <v>61.387928720683782</v>
      </c>
      <c r="E140" s="11"/>
      <c r="F140" s="11">
        <f ca="1">IF(D140="","",(LN((LN((1-D140/100)))/-B50)/-B51))</f>
        <v>37.390391757955868</v>
      </c>
      <c r="G140" s="11">
        <f t="shared" ca="1" si="20"/>
        <v>61.387928720683782</v>
      </c>
      <c r="H140" s="50" t="str">
        <f ca="1">IF(I176=C140,I140,"")</f>
        <v/>
      </c>
      <c r="I140" s="11">
        <f t="shared" ca="1" si="21"/>
        <v>37.4</v>
      </c>
      <c r="J140" s="11"/>
      <c r="K140" s="11"/>
      <c r="L140" s="11"/>
      <c r="M140" s="11"/>
      <c r="N140" s="11"/>
      <c r="O140" s="11"/>
      <c r="Q140" s="11"/>
      <c r="R140" s="11"/>
      <c r="S140" s="11"/>
      <c r="T140" s="11"/>
      <c r="U140" s="11"/>
      <c r="V140" s="11"/>
      <c r="X140" s="11"/>
    </row>
    <row r="141" spans="1:24" x14ac:dyDescent="0.3">
      <c r="A141" s="11">
        <f ca="1">'FALL 2'!A141</f>
        <v>61.624048016440454</v>
      </c>
      <c r="B141" s="11">
        <f ca="1">'FALL 2'!B141</f>
        <v>61.624048016440454</v>
      </c>
      <c r="C141" s="11">
        <f t="shared" si="22"/>
        <v>68</v>
      </c>
      <c r="D141" s="11">
        <f ca="1">(IF(C141=0,"",B141*0.01*(K77-K78)+K78))</f>
        <v>61.391627067911344</v>
      </c>
      <c r="E141" s="11"/>
      <c r="F141" s="11">
        <f ca="1">IF(D141="","",(LN((LN((1-D141/100)))/-B50)/-B51))</f>
        <v>37.391196673099287</v>
      </c>
      <c r="G141" s="11">
        <f t="shared" ca="1" si="20"/>
        <v>61.391627067911344</v>
      </c>
      <c r="H141" s="50" t="str">
        <f ca="1">IF(I176=C141,I141,"")</f>
        <v/>
      </c>
      <c r="I141" s="11">
        <f t="shared" ca="1" si="21"/>
        <v>37.4</v>
      </c>
      <c r="J141" s="11"/>
      <c r="K141" s="11"/>
      <c r="L141" s="11"/>
      <c r="M141" s="11"/>
      <c r="N141" s="11"/>
      <c r="O141" s="11"/>
      <c r="Q141" s="11"/>
      <c r="R141" s="11"/>
      <c r="S141" s="11"/>
      <c r="T141" s="11"/>
      <c r="U141" s="11"/>
      <c r="V141" s="11"/>
      <c r="X141" s="11"/>
    </row>
    <row r="142" spans="1:24" x14ac:dyDescent="0.3">
      <c r="A142" s="11">
        <f ca="1">'FALL 2'!A142</f>
        <v>95.286660752850921</v>
      </c>
      <c r="B142" s="11">
        <f ca="1">'FALL 2'!B142</f>
        <v>61.705597331283826</v>
      </c>
      <c r="C142" s="11">
        <f t="shared" si="22"/>
        <v>69</v>
      </c>
      <c r="D142" s="11">
        <f ca="1">(IF(C142=0,"",B142*0.01*(K77-K78)+K78))</f>
        <v>61.471545475873612</v>
      </c>
      <c r="E142" s="11"/>
      <c r="F142" s="11">
        <f ca="1">IF(D142="","",(LN((LN((1-D142/100)))/-B50)/-B51))</f>
        <v>37.408589320695597</v>
      </c>
      <c r="G142" s="11">
        <f t="shared" ca="1" si="20"/>
        <v>61.471545475873612</v>
      </c>
      <c r="H142" s="50" t="str">
        <f ca="1">IF(I176=C142,I142,"")</f>
        <v/>
      </c>
      <c r="I142" s="11">
        <f t="shared" ca="1" si="21"/>
        <v>37.4</v>
      </c>
      <c r="J142" s="11"/>
      <c r="K142" s="11"/>
      <c r="L142" s="11"/>
      <c r="M142" s="11"/>
      <c r="N142" s="11"/>
      <c r="O142" s="11"/>
      <c r="Q142" s="11"/>
      <c r="R142" s="11"/>
      <c r="S142" s="11"/>
      <c r="T142" s="11"/>
      <c r="U142" s="11"/>
      <c r="V142" s="11"/>
      <c r="X142" s="11"/>
    </row>
    <row r="143" spans="1:24" x14ac:dyDescent="0.3">
      <c r="A143" s="11">
        <f ca="1">'FALL 2'!A143</f>
        <v>93.945212033707335</v>
      </c>
      <c r="B143" s="11">
        <f ca="1">'FALL 2'!B143</f>
        <v>61.739216598369225</v>
      </c>
      <c r="C143" s="11">
        <f t="shared" si="22"/>
        <v>70</v>
      </c>
      <c r="D143" s="11">
        <f ca="1">(IF(C143=0,"",B143*0.01*(K77-K78)+K78))</f>
        <v>61.504492390357001</v>
      </c>
      <c r="E143" s="11"/>
      <c r="F143" s="11">
        <f ca="1">IF(D143="","",(LN((LN((1-D143/100)))/-B50)/-B51))</f>
        <v>37.415759046055001</v>
      </c>
      <c r="G143" s="11">
        <f t="shared" ca="1" si="20"/>
        <v>61.504492390357001</v>
      </c>
      <c r="H143" s="50" t="str">
        <f ca="1">IF(I176=C143,I143,"")</f>
        <v/>
      </c>
      <c r="I143" s="11">
        <f t="shared" ca="1" si="21"/>
        <v>37.4</v>
      </c>
      <c r="J143" s="11"/>
      <c r="K143" s="11"/>
      <c r="L143" s="11"/>
      <c r="M143" s="11"/>
      <c r="N143" s="11"/>
      <c r="O143" s="11"/>
      <c r="Q143" s="11"/>
      <c r="R143" s="11"/>
      <c r="S143" s="11"/>
      <c r="T143" s="11"/>
      <c r="U143" s="11"/>
      <c r="V143" s="11"/>
      <c r="X143" s="11"/>
    </row>
    <row r="144" spans="1:24" x14ac:dyDescent="0.3">
      <c r="A144" s="11">
        <f ca="1">'FALL 2'!A144</f>
        <v>33.716555255162135</v>
      </c>
      <c r="B144" s="11">
        <f ca="1">'FALL 2'!B144</f>
        <v>64.209943240490091</v>
      </c>
      <c r="C144" s="11">
        <f t="shared" si="22"/>
        <v>71</v>
      </c>
      <c r="D144" s="11">
        <f ca="1">(IF(C144=0,"",B144*0.01*(K77-K78)+K78))</f>
        <v>63.925806905721345</v>
      </c>
      <c r="E144" s="11"/>
      <c r="F144" s="11">
        <f ca="1">IF(D144="","",(LN((LN((1-D144/100)))/-B50)/-B51))</f>
        <v>37.942243956696565</v>
      </c>
      <c r="G144" s="11">
        <f t="shared" ca="1" si="20"/>
        <v>63.925806905721345</v>
      </c>
      <c r="H144" s="50" t="str">
        <f ca="1">IF(I176=C144,I144,"")</f>
        <v/>
      </c>
      <c r="I144" s="11">
        <f t="shared" ca="1" si="21"/>
        <v>37.9</v>
      </c>
      <c r="J144" s="11"/>
      <c r="K144" s="11"/>
      <c r="L144" s="11"/>
      <c r="M144" s="11"/>
      <c r="N144" s="11"/>
      <c r="O144" s="11"/>
      <c r="Q144" s="11"/>
      <c r="R144" s="11"/>
      <c r="S144" s="11"/>
      <c r="T144" s="11"/>
      <c r="U144" s="11"/>
      <c r="V144" s="11"/>
      <c r="X144" s="11"/>
    </row>
    <row r="145" spans="1:24" x14ac:dyDescent="0.3">
      <c r="A145" s="11">
        <f ca="1">'FALL 2'!A145</f>
        <v>75.835971144184526</v>
      </c>
      <c r="B145" s="11">
        <f ca="1">'FALL 2'!B145</f>
        <v>66.060567090885314</v>
      </c>
      <c r="C145" s="11">
        <f t="shared" si="22"/>
        <v>72</v>
      </c>
      <c r="D145" s="11">
        <f ca="1">(IF(C145=0,"",B145*0.01*(K77-K78)+K78))</f>
        <v>65.739420081315288</v>
      </c>
      <c r="E145" s="11"/>
      <c r="F145" s="11">
        <f ca="1">IF(D145="","",(LN((LN((1-D145/100)))/-B50)/-B51))</f>
        <v>38.336916298699748</v>
      </c>
      <c r="G145" s="11">
        <f t="shared" ca="1" si="20"/>
        <v>65.739420081315288</v>
      </c>
      <c r="H145" s="50" t="str">
        <f ca="1">IF(I176=C145,I145,"")</f>
        <v/>
      </c>
      <c r="I145" s="11">
        <f t="shared" ca="1" si="21"/>
        <v>38.299999999999997</v>
      </c>
      <c r="J145" s="11"/>
      <c r="K145" s="11"/>
      <c r="L145" s="11"/>
      <c r="M145" s="11"/>
      <c r="N145" s="11"/>
      <c r="O145" s="11"/>
      <c r="Q145" s="11"/>
      <c r="R145" s="11"/>
      <c r="S145" s="11"/>
      <c r="T145" s="11"/>
      <c r="U145" s="11"/>
      <c r="V145" s="11"/>
      <c r="X145" s="11"/>
    </row>
    <row r="146" spans="1:24" x14ac:dyDescent="0.3">
      <c r="A146" s="11">
        <f ca="1">'FALL 2'!A146</f>
        <v>34.688641730273304</v>
      </c>
      <c r="B146" s="11">
        <f ca="1">'FALL 2'!B146</f>
        <v>66.653251272831909</v>
      </c>
      <c r="C146" s="11">
        <f t="shared" si="22"/>
        <v>73</v>
      </c>
      <c r="D146" s="11">
        <f ca="1">(IF(C146=0,"",B146*0.01*(K77-K78)+K78))</f>
        <v>66.32025115680095</v>
      </c>
      <c r="E146" s="11"/>
      <c r="F146" s="11">
        <f ca="1">IF(D146="","",(LN((LN((1-D146/100)))/-B50)/-B51))</f>
        <v>38.46355966477617</v>
      </c>
      <c r="G146" s="11">
        <f t="shared" ca="1" si="20"/>
        <v>66.32025115680095</v>
      </c>
      <c r="H146" s="50" t="str">
        <f ca="1">IF(I176=C146,I146,"")</f>
        <v/>
      </c>
      <c r="I146" s="11">
        <f t="shared" ca="1" si="21"/>
        <v>38.5</v>
      </c>
      <c r="J146" s="11"/>
      <c r="K146" s="11"/>
      <c r="L146" s="11"/>
      <c r="M146" s="11"/>
      <c r="N146" s="11"/>
      <c r="O146" s="11"/>
      <c r="Q146" s="11"/>
      <c r="R146" s="11"/>
      <c r="S146" s="11"/>
      <c r="T146" s="11"/>
      <c r="U146" s="11"/>
      <c r="V146" s="11"/>
      <c r="X146" s="11"/>
    </row>
    <row r="147" spans="1:24" x14ac:dyDescent="0.3">
      <c r="A147" s="11">
        <f ca="1">'FALL 2'!A147</f>
        <v>19.716125294376258</v>
      </c>
      <c r="B147" s="11">
        <f ca="1">'FALL 2'!B147</f>
        <v>66.829826929516031</v>
      </c>
      <c r="C147" s="11">
        <f t="shared" si="22"/>
        <v>74</v>
      </c>
      <c r="D147" s="11">
        <f ca="1">(IF(C147=0,"",B147*0.01*(K77-K78)+K78))</f>
        <v>66.493295472307352</v>
      </c>
      <c r="E147" s="11"/>
      <c r="F147" s="11">
        <f ca="1">IF(D147="","",(LN((LN((1-D147/100)))/-B50)/-B51))</f>
        <v>38.501322632802108</v>
      </c>
      <c r="G147" s="11">
        <f t="shared" ca="1" si="20"/>
        <v>66.493295472307352</v>
      </c>
      <c r="H147" s="50" t="str">
        <f ca="1">IF(I176=C147,I147,"")</f>
        <v/>
      </c>
      <c r="I147" s="11">
        <f t="shared" ca="1" si="21"/>
        <v>38.5</v>
      </c>
      <c r="J147" s="11"/>
      <c r="K147" s="11"/>
      <c r="L147" s="11"/>
      <c r="M147" s="11"/>
      <c r="N147" s="11"/>
      <c r="O147" s="11"/>
      <c r="Q147" s="11"/>
      <c r="R147" s="11"/>
      <c r="S147" s="11"/>
      <c r="T147" s="11"/>
      <c r="U147" s="11"/>
      <c r="V147" s="11"/>
      <c r="X147" s="11"/>
    </row>
    <row r="148" spans="1:24" x14ac:dyDescent="0.3">
      <c r="A148" s="11">
        <f ca="1">'FALL 2'!A148</f>
        <v>10.885530224479504</v>
      </c>
      <c r="B148" s="11">
        <f ca="1">'FALL 2'!B148</f>
        <v>67.554798364905551</v>
      </c>
      <c r="C148" s="11">
        <f t="shared" si="22"/>
        <v>75</v>
      </c>
      <c r="D148" s="11">
        <f ca="1">(IF(C148=0,"",B148*0.01*(K77-K78)+K78))</f>
        <v>67.203768184993351</v>
      </c>
      <c r="E148" s="11"/>
      <c r="F148" s="11">
        <f ca="1">IF(D148="","",(LN((LN((1-D148/100)))/-B50)/-B51))</f>
        <v>38.656552007792421</v>
      </c>
      <c r="G148" s="11">
        <f t="shared" ca="1" si="20"/>
        <v>67.203768184993351</v>
      </c>
      <c r="H148" s="50" t="str">
        <f ca="1">IF(I176=C148,I148,"")</f>
        <v/>
      </c>
      <c r="I148" s="11">
        <f t="shared" ca="1" si="21"/>
        <v>38.700000000000003</v>
      </c>
      <c r="J148" s="11"/>
      <c r="K148" s="11"/>
      <c r="L148" s="11"/>
      <c r="M148" s="11"/>
      <c r="N148" s="11"/>
      <c r="O148" s="11"/>
      <c r="Q148" s="11"/>
      <c r="R148" s="11"/>
      <c r="S148" s="11"/>
      <c r="T148" s="11"/>
      <c r="U148" s="11"/>
      <c r="V148" s="11"/>
      <c r="X148" s="11"/>
    </row>
    <row r="149" spans="1:24" x14ac:dyDescent="0.3">
      <c r="A149" s="11">
        <f ca="1">'FALL 2'!A149</f>
        <v>73.350716253599742</v>
      </c>
      <c r="B149" s="11">
        <f ca="1">'FALL 2'!B149</f>
        <v>69.999571086914443</v>
      </c>
      <c r="C149" s="11">
        <f t="shared" si="22"/>
        <v>76</v>
      </c>
      <c r="D149" s="11">
        <f ca="1">(IF(C149=0,"",B149*0.01*(K77-K78)+K78))</f>
        <v>69.599647833373055</v>
      </c>
      <c r="E149" s="11"/>
      <c r="F149" s="11">
        <f ca="1">IF(D149="","",(LN((LN((1-D149/100)))/-B50)/-B51))</f>
        <v>39.182982426151938</v>
      </c>
      <c r="G149" s="11">
        <f t="shared" ca="1" si="20"/>
        <v>69.599647833373055</v>
      </c>
      <c r="H149" s="50" t="str">
        <f ca="1">IF(I176=C149,I149,"")</f>
        <v/>
      </c>
      <c r="I149" s="11">
        <f t="shared" ca="1" si="21"/>
        <v>39.200000000000003</v>
      </c>
      <c r="J149" s="11"/>
      <c r="K149" s="11"/>
      <c r="L149" s="11"/>
      <c r="M149" s="11"/>
      <c r="N149" s="11"/>
      <c r="O149" s="11"/>
      <c r="Q149" s="11"/>
      <c r="R149" s="11"/>
      <c r="S149" s="11"/>
      <c r="T149" s="11"/>
      <c r="U149" s="11"/>
      <c r="V149" s="11"/>
      <c r="X149" s="11"/>
    </row>
    <row r="150" spans="1:24" x14ac:dyDescent="0.3">
      <c r="A150" s="11">
        <f ca="1">'FALL 2'!A150</f>
        <v>61.739216598369225</v>
      </c>
      <c r="B150" s="11">
        <f ca="1">'FALL 2'!B150</f>
        <v>70.170321861690041</v>
      </c>
      <c r="C150" s="11">
        <f t="shared" si="22"/>
        <v>77</v>
      </c>
      <c r="D150" s="11">
        <f ca="1">IF(C150=0,"",(B150*0.01*(K77-K78)+K78))</f>
        <v>69.766983758936618</v>
      </c>
      <c r="E150" s="11"/>
      <c r="F150" s="11">
        <f ca="1">IF(D150="","",(LN((LN((1-D150/100)))/-B50)/-B51))</f>
        <v>39.219966874188444</v>
      </c>
      <c r="G150" s="11">
        <f t="shared" ca="1" si="20"/>
        <v>69.766983758936618</v>
      </c>
      <c r="H150" s="50" t="str">
        <f ca="1">IF(I176=C150,I150,"")</f>
        <v/>
      </c>
      <c r="I150" s="11">
        <f t="shared" ca="1" si="21"/>
        <v>39.200000000000003</v>
      </c>
      <c r="J150" s="11"/>
      <c r="K150" s="11"/>
      <c r="L150" s="11"/>
      <c r="M150" s="11"/>
      <c r="N150" s="11"/>
      <c r="O150" s="11"/>
      <c r="Q150" s="11"/>
      <c r="R150" s="11"/>
      <c r="S150" s="11"/>
      <c r="T150" s="11"/>
      <c r="U150" s="11"/>
      <c r="V150" s="11"/>
      <c r="X150" s="11"/>
    </row>
    <row r="151" spans="1:24" x14ac:dyDescent="0.3">
      <c r="A151" s="11">
        <f ca="1">'FALL 2'!A151</f>
        <v>96.792694727048797</v>
      </c>
      <c r="B151" s="11">
        <f ca="1">'FALL 2'!B151</f>
        <v>70.917425780520034</v>
      </c>
      <c r="C151" s="11">
        <f t="shared" si="22"/>
        <v>78</v>
      </c>
      <c r="D151" s="11">
        <f ca="1">IF(C151=0,"",(B151*0.01*(K77-K78)+K78))</f>
        <v>70.499146326947709</v>
      </c>
      <c r="E151" s="11"/>
      <c r="F151" s="11">
        <f ca="1">IF(D151="","",(LN((LN((1-D151/100)))/-B50)/-B51))</f>
        <v>39.382197430028448</v>
      </c>
      <c r="G151" s="11">
        <f t="shared" ca="1" si="20"/>
        <v>70.499146326947709</v>
      </c>
      <c r="H151" s="50" t="str">
        <f ca="1">IF(I176=C151,I151,"")</f>
        <v/>
      </c>
      <c r="I151" s="11">
        <f t="shared" ca="1" si="21"/>
        <v>39.4</v>
      </c>
      <c r="J151" s="11"/>
      <c r="K151" s="11"/>
      <c r="L151" s="11"/>
      <c r="M151" s="11"/>
      <c r="N151" s="11"/>
      <c r="O151" s="11"/>
      <c r="Q151" s="11"/>
      <c r="R151" s="11"/>
      <c r="S151" s="11"/>
      <c r="T151" s="11"/>
      <c r="U151" s="11"/>
      <c r="V151" s="11"/>
      <c r="X151" s="11"/>
    </row>
    <row r="152" spans="1:24" x14ac:dyDescent="0.3">
      <c r="A152" s="11">
        <f ca="1">'FALL 2'!A152</f>
        <v>75.880495810393597</v>
      </c>
      <c r="B152" s="11">
        <f ca="1">'FALL 2'!B152</f>
        <v>73.350716253599742</v>
      </c>
      <c r="C152" s="11">
        <f t="shared" si="22"/>
        <v>79</v>
      </c>
      <c r="D152" s="11">
        <f ca="1">IF(C152=0,"",(B152*0.01*(K77-K78)+K78))</f>
        <v>72.883773360194979</v>
      </c>
      <c r="E152" s="11"/>
      <c r="F152" s="11">
        <f ca="1">IF(D152="","",(LN((LN((1-D152/100)))/-B50)/-B51))</f>
        <v>39.916119197388461</v>
      </c>
      <c r="G152" s="11">
        <f t="shared" ca="1" si="20"/>
        <v>72.883773360194979</v>
      </c>
      <c r="H152" s="50" t="str">
        <f ca="1">IF(I176=C152,I152,"")</f>
        <v/>
      </c>
      <c r="I152" s="11">
        <f t="shared" ca="1" si="21"/>
        <v>39.9</v>
      </c>
      <c r="J152" s="11"/>
      <c r="K152" s="11"/>
      <c r="L152" s="11"/>
      <c r="M152" s="11"/>
      <c r="N152" s="11"/>
      <c r="O152" s="11"/>
      <c r="Q152" s="11"/>
      <c r="R152" s="11"/>
      <c r="S152" s="11"/>
      <c r="T152" s="11"/>
      <c r="U152" s="11"/>
      <c r="V152" s="11"/>
      <c r="X152" s="11"/>
    </row>
    <row r="153" spans="1:24" x14ac:dyDescent="0.3">
      <c r="A153" s="11">
        <f ca="1">'FALL 2'!A153</f>
        <v>89.472758160042972</v>
      </c>
      <c r="B153" s="11">
        <f ca="1">'FALL 2'!B153</f>
        <v>75.343875189459823</v>
      </c>
      <c r="C153" s="11">
        <f t="shared" si="22"/>
        <v>80</v>
      </c>
      <c r="D153" s="11">
        <f ca="1">(IF(C153=0,"",B153*0.01*(K77-K78)+K78))</f>
        <v>74.837071058350475</v>
      </c>
      <c r="E153" s="11"/>
      <c r="F153" s="11">
        <f ca="1">IF(D153="","",(LN((LN((1-D153/100)))/-B50)/-B51))</f>
        <v>40.361590728745334</v>
      </c>
      <c r="G153" s="11">
        <f t="shared" ca="1" si="20"/>
        <v>74.837071058350475</v>
      </c>
      <c r="H153" s="50" t="str">
        <f ca="1">IF(I176=C153,I153,"")</f>
        <v/>
      </c>
      <c r="I153" s="11">
        <f t="shared" ca="1" si="21"/>
        <v>40.4</v>
      </c>
      <c r="J153" s="11"/>
      <c r="K153" s="11"/>
      <c r="L153" s="11"/>
      <c r="M153" s="11"/>
      <c r="N153" s="11"/>
      <c r="O153" s="11"/>
      <c r="Q153" s="11"/>
      <c r="R153" s="11"/>
      <c r="S153" s="11"/>
      <c r="T153" s="11"/>
      <c r="U153" s="11"/>
      <c r="V153" s="11"/>
      <c r="X153" s="11"/>
    </row>
    <row r="154" spans="1:24" x14ac:dyDescent="0.3">
      <c r="A154" s="11">
        <f ca="1">'FALL 2'!A154</f>
        <v>30.392788314351847</v>
      </c>
      <c r="B154" s="11">
        <f ca="1">'FALL 2'!B154</f>
        <v>75.433313687716009</v>
      </c>
      <c r="C154" s="11">
        <f t="shared" si="22"/>
        <v>81</v>
      </c>
      <c r="D154" s="11">
        <f ca="1">(IF(C154=0,"",B154*0.01*(K77-K78)+K78))</f>
        <v>74.924720873740085</v>
      </c>
      <c r="E154" s="11"/>
      <c r="F154" s="11">
        <f ca="1">IF(D154="","",(LN((LN((1-D154/100)))/-B50)/-B51))</f>
        <v>40.381788642189925</v>
      </c>
      <c r="G154" s="11">
        <f t="shared" ca="1" si="20"/>
        <v>74.924720873740085</v>
      </c>
      <c r="H154" s="50" t="str">
        <f ca="1">IF(I176=C154,I154,"")</f>
        <v/>
      </c>
      <c r="I154" s="11">
        <f t="shared" ca="1" si="21"/>
        <v>40.4</v>
      </c>
      <c r="J154" s="11"/>
      <c r="K154" s="11"/>
      <c r="L154" s="11"/>
      <c r="M154" s="11"/>
      <c r="N154" s="11"/>
      <c r="O154" s="11"/>
      <c r="Q154" s="11"/>
      <c r="R154" s="11"/>
      <c r="S154" s="11"/>
      <c r="T154" s="11"/>
      <c r="U154" s="11"/>
      <c r="V154" s="11"/>
      <c r="X154" s="11"/>
    </row>
    <row r="155" spans="1:24" x14ac:dyDescent="0.3">
      <c r="A155" s="11">
        <f ca="1">'FALL 2'!A155</f>
        <v>9.2836085325027931</v>
      </c>
      <c r="B155" s="11">
        <f ca="1">'FALL 2'!B155</f>
        <v>75.576022612968487</v>
      </c>
      <c r="C155" s="11">
        <f t="shared" si="22"/>
        <v>82</v>
      </c>
      <c r="D155" s="11">
        <f ca="1">(IF(C155=0,"",B155*0.01*(K77-K78)+K78))</f>
        <v>75.064575759462798</v>
      </c>
      <c r="E155" s="11"/>
      <c r="F155" s="11">
        <f ca="1">IF(D155="","",(LN((LN((1-D155/100)))/-B50)/-B51))</f>
        <v>40.414057245441782</v>
      </c>
      <c r="G155" s="11">
        <f t="shared" ca="1" si="20"/>
        <v>75.064575759462798</v>
      </c>
      <c r="H155" s="50" t="str">
        <f ca="1">IF(I176=C155,I155,"")</f>
        <v/>
      </c>
      <c r="I155" s="11">
        <f t="shared" ca="1" si="21"/>
        <v>40.4</v>
      </c>
      <c r="J155" s="11"/>
      <c r="K155" s="11"/>
      <c r="L155" s="11"/>
      <c r="M155" s="11"/>
      <c r="N155" s="11"/>
      <c r="O155" s="11"/>
      <c r="Q155" s="11"/>
      <c r="R155" s="11"/>
      <c r="S155" s="11"/>
      <c r="T155" s="11"/>
      <c r="U155" s="11"/>
      <c r="V155" s="11"/>
      <c r="X155" s="11"/>
    </row>
    <row r="156" spans="1:24" x14ac:dyDescent="0.3">
      <c r="A156" s="11">
        <f ca="1">'FALL 2'!A156</f>
        <v>50.172602681297342</v>
      </c>
      <c r="B156" s="11">
        <f ca="1">'FALL 2'!B156</f>
        <v>75.835971144184526</v>
      </c>
      <c r="C156" s="11">
        <f t="shared" si="22"/>
        <v>83</v>
      </c>
      <c r="D156" s="11">
        <f ca="1">IF(C156=0,"",(B156*0.01*(K77-K78)+K78))</f>
        <v>75.319325573202107</v>
      </c>
      <c r="E156" s="11"/>
      <c r="F156" s="11">
        <f ca="1">IF(D156="","",(LN((LN((1-D156/100)))/-B50)/-B51))</f>
        <v>40.472966417907422</v>
      </c>
      <c r="G156" s="11">
        <f t="shared" ca="1" si="20"/>
        <v>75.319325573202107</v>
      </c>
      <c r="H156" s="50" t="str">
        <f ca="1">IF(I176=C156,I156,"")</f>
        <v/>
      </c>
      <c r="I156" s="11">
        <f t="shared" ca="1" si="21"/>
        <v>40.5</v>
      </c>
      <c r="J156" s="11"/>
      <c r="K156" s="11"/>
      <c r="L156" s="11"/>
      <c r="M156" s="11"/>
      <c r="N156" s="11"/>
      <c r="O156" s="11"/>
      <c r="Q156" s="11"/>
      <c r="R156" s="11"/>
      <c r="S156" s="11"/>
      <c r="T156" s="11"/>
      <c r="U156" s="11"/>
      <c r="V156" s="11"/>
      <c r="X156" s="11"/>
    </row>
    <row r="157" spans="1:24" x14ac:dyDescent="0.3">
      <c r="A157" s="11">
        <f ca="1">'FALL 2'!A157</f>
        <v>66.653251272831909</v>
      </c>
      <c r="B157" s="11">
        <f ca="1">'FALL 2'!B157</f>
        <v>75.880495810393597</v>
      </c>
      <c r="C157" s="11">
        <f t="shared" si="22"/>
        <v>84</v>
      </c>
      <c r="D157" s="11">
        <f ca="1">(IF(C157=0,"",B157*0.01*(K77-K78)+K78))</f>
        <v>75.362959789446776</v>
      </c>
      <c r="E157" s="11"/>
      <c r="F157" s="11">
        <f ca="1">IF(D157="","",(LN((LN((1-D157/100)))/-B50)/-B51))</f>
        <v>40.483073809274664</v>
      </c>
      <c r="G157" s="11">
        <f t="shared" ca="1" si="20"/>
        <v>75.362959789446776</v>
      </c>
      <c r="H157" s="50" t="str">
        <f ca="1">IF(I176=C157,I157,"")</f>
        <v/>
      </c>
      <c r="I157" s="11">
        <f t="shared" ca="1" si="21"/>
        <v>40.5</v>
      </c>
      <c r="J157" s="11"/>
      <c r="K157" s="11"/>
      <c r="L157" s="11"/>
      <c r="M157" s="11"/>
      <c r="N157" s="11"/>
      <c r="O157" s="11"/>
      <c r="Q157" s="11"/>
      <c r="R157" s="11"/>
      <c r="S157" s="11"/>
      <c r="T157" s="11"/>
      <c r="U157" s="11"/>
      <c r="V157" s="11"/>
      <c r="X157" s="11"/>
    </row>
    <row r="158" spans="1:24" x14ac:dyDescent="0.3">
      <c r="A158" s="11">
        <f ca="1">'FALL 2'!A158</f>
        <v>82.127885467203029</v>
      </c>
      <c r="B158" s="11">
        <f ca="1">'FALL 2'!B158</f>
        <v>77.294214300749587</v>
      </c>
      <c r="C158" s="11">
        <f t="shared" si="22"/>
        <v>85</v>
      </c>
      <c r="D158" s="11">
        <f ca="1">IF(C158=0,"",(B158*0.01*(K77-K78)+K78))</f>
        <v>76.748405286727518</v>
      </c>
      <c r="E158" s="11"/>
      <c r="F158" s="11">
        <f ca="1">IF(D158="","",(LN((LN((1-D158/100)))/-B50)/-B51))</f>
        <v>40.806815057337516</v>
      </c>
      <c r="G158" s="11">
        <f t="shared" ca="1" si="20"/>
        <v>76.748405286727518</v>
      </c>
      <c r="H158" s="50" t="str">
        <f ca="1">IF(I176=C158,I158,"")</f>
        <v/>
      </c>
      <c r="I158" s="11">
        <f t="shared" ca="1" si="21"/>
        <v>40.799999999999997</v>
      </c>
      <c r="J158" s="11"/>
      <c r="K158" s="11"/>
      <c r="L158" s="11"/>
      <c r="M158" s="11"/>
      <c r="N158" s="11"/>
      <c r="O158" s="11"/>
      <c r="Q158" s="11"/>
      <c r="R158" s="11"/>
      <c r="S158" s="11"/>
      <c r="T158" s="11"/>
      <c r="U158" s="11"/>
      <c r="V158" s="11"/>
      <c r="X158" s="11"/>
    </row>
    <row r="159" spans="1:24" x14ac:dyDescent="0.3">
      <c r="A159" s="11">
        <f ca="1">'FALL 2'!A159</f>
        <v>92.069005416099401</v>
      </c>
      <c r="B159" s="11">
        <f ca="1">'FALL 2'!B159</f>
        <v>78.113730407507262</v>
      </c>
      <c r="C159" s="11">
        <f t="shared" si="22"/>
        <v>86</v>
      </c>
      <c r="D159" s="11">
        <f ca="1">IF(C159=0,"",(B159*0.01*(K77-K78)+K78))</f>
        <v>77.551531869425432</v>
      </c>
      <c r="E159" s="11"/>
      <c r="F159" s="11">
        <f ca="1">IF(D159="","",(LN((LN((1-D159/100)))/-B50)/-B51))</f>
        <v>40.99722515817065</v>
      </c>
      <c r="G159" s="11">
        <f t="shared" ca="1" si="20"/>
        <v>77.551531869425432</v>
      </c>
      <c r="H159" s="50" t="str">
        <f ca="1">IF(I176=C159,I159,"")</f>
        <v/>
      </c>
      <c r="I159" s="11">
        <f t="shared" ca="1" si="21"/>
        <v>41</v>
      </c>
      <c r="J159" s="11"/>
      <c r="K159" s="11"/>
      <c r="L159" s="11"/>
      <c r="M159" s="11"/>
      <c r="N159" s="11"/>
      <c r="O159" s="11"/>
      <c r="Q159" s="11"/>
      <c r="R159" s="11"/>
      <c r="S159" s="11"/>
      <c r="T159" s="11"/>
      <c r="U159" s="11"/>
      <c r="V159" s="11"/>
      <c r="X159" s="11"/>
    </row>
    <row r="160" spans="1:24" x14ac:dyDescent="0.3">
      <c r="A160" s="11">
        <f ca="1">'FALL 2'!A160</f>
        <v>3.6249997631134772</v>
      </c>
      <c r="B160" s="11">
        <f ca="1">'FALL 2'!B160</f>
        <v>79.584477650595773</v>
      </c>
      <c r="C160" s="11">
        <f t="shared" si="22"/>
        <v>87</v>
      </c>
      <c r="D160" s="11">
        <f ca="1">IF(C160=0,"",(B160*0.01*(K77-K78)+K78))</f>
        <v>78.992865599920776</v>
      </c>
      <c r="E160" s="11"/>
      <c r="F160" s="11">
        <f ca="1">IF(D160="","",(LN((LN((1-D160/100)))/-B50)/-B51))</f>
        <v>41.34478086589052</v>
      </c>
      <c r="G160" s="11">
        <f t="shared" ca="1" si="20"/>
        <v>78.992865599920776</v>
      </c>
      <c r="H160" s="50" t="str">
        <f ca="1">IF(I176=C160,I160,"")</f>
        <v/>
      </c>
      <c r="I160" s="11">
        <f t="shared" ca="1" si="21"/>
        <v>41.3</v>
      </c>
      <c r="J160" s="11"/>
      <c r="K160" s="11"/>
      <c r="L160" s="11"/>
      <c r="M160" s="11"/>
      <c r="N160" s="11"/>
      <c r="O160" s="11"/>
      <c r="Q160" s="11"/>
      <c r="R160" s="11"/>
      <c r="S160" s="11"/>
      <c r="T160" s="11"/>
      <c r="U160" s="11"/>
      <c r="V160" s="11"/>
      <c r="X160" s="11"/>
    </row>
    <row r="161" spans="1:24" x14ac:dyDescent="0.3">
      <c r="A161" s="11">
        <f ca="1">'FALL 2'!A161</f>
        <v>20.477118628301223</v>
      </c>
      <c r="B161" s="11">
        <f ca="1">'FALL 2'!B161</f>
        <v>82.127885467203029</v>
      </c>
      <c r="C161" s="11">
        <f t="shared" si="22"/>
        <v>88</v>
      </c>
      <c r="D161" s="11">
        <f ca="1">(IF(C161=0,"",B161*0.01*(K77-K78)+K78))</f>
        <v>81.485407737061422</v>
      </c>
      <c r="E161" s="11"/>
      <c r="F161" s="11">
        <f ca="1">IF(D161="","",(LN((LN((1-D161/100)))/-B50)/-B51))</f>
        <v>41.967245260995938</v>
      </c>
      <c r="G161" s="11">
        <f t="shared" ca="1" si="20"/>
        <v>81.485407737061422</v>
      </c>
      <c r="H161" s="50" t="str">
        <f ca="1">IF(I176=C161,I161,"")</f>
        <v/>
      </c>
      <c r="I161" s="11">
        <f t="shared" ca="1" si="21"/>
        <v>42</v>
      </c>
      <c r="J161" s="11"/>
      <c r="K161" s="11"/>
      <c r="L161" s="11"/>
      <c r="M161" s="11"/>
      <c r="N161" s="11"/>
      <c r="O161" s="11"/>
      <c r="Q161" s="11"/>
      <c r="R161" s="11"/>
      <c r="S161" s="11"/>
      <c r="T161" s="11"/>
      <c r="U161" s="11"/>
      <c r="V161" s="11"/>
      <c r="X161" s="11"/>
    </row>
    <row r="162" spans="1:24" x14ac:dyDescent="0.3">
      <c r="A162" s="11">
        <f ca="1">'FALL 2'!A162</f>
        <v>30.123378148520377</v>
      </c>
      <c r="B162" s="11">
        <f ca="1">'FALL 2'!B162</f>
        <v>82.170865037115789</v>
      </c>
      <c r="C162" s="11">
        <f t="shared" si="22"/>
        <v>89</v>
      </c>
      <c r="D162" s="11">
        <f ca="1">(IF(C162=0,"",B162*0.01*(K77-K78)+K78))</f>
        <v>81.527527757431031</v>
      </c>
      <c r="E162" s="11"/>
      <c r="F162" s="11">
        <f ca="1">IF(D162="","",(LN((LN((1-D162/100)))/-B50)/-B51))</f>
        <v>41.978036822518327</v>
      </c>
      <c r="G162" s="11">
        <f t="shared" ca="1" si="20"/>
        <v>81.527527757431031</v>
      </c>
      <c r="H162" s="50" t="str">
        <f ca="1">IF(I176=C162,I162,"")</f>
        <v/>
      </c>
      <c r="I162" s="11">
        <f t="shared" ca="1" si="21"/>
        <v>42</v>
      </c>
      <c r="J162" s="11"/>
      <c r="K162" s="11"/>
      <c r="L162" s="11"/>
      <c r="M162" s="11"/>
      <c r="N162" s="11"/>
      <c r="O162" s="11"/>
      <c r="Q162" s="11"/>
      <c r="R162" s="11"/>
      <c r="S162" s="11"/>
      <c r="T162" s="11"/>
      <c r="U162" s="11"/>
      <c r="V162" s="11"/>
      <c r="X162" s="11"/>
    </row>
    <row r="163" spans="1:24" x14ac:dyDescent="0.3">
      <c r="A163" s="11">
        <f ca="1">'FALL 2'!A163</f>
        <v>98.068589609092214</v>
      </c>
      <c r="B163" s="11">
        <f ca="1">'FALL 2'!B163</f>
        <v>82.652071906329411</v>
      </c>
      <c r="C163" s="11">
        <f t="shared" si="22"/>
        <v>90</v>
      </c>
      <c r="D163" s="11">
        <f ca="1">IF(C163=0,"",(B163*0.01*(K77-K78)+K78))</f>
        <v>81.999110957877605</v>
      </c>
      <c r="E163" s="11"/>
      <c r="F163" s="11">
        <f ca="1">IF(D163="","",(LN((LN((1-D163/100)))/-B50)/-B51))</f>
        <v>42.09955889530567</v>
      </c>
      <c r="G163" s="11">
        <f t="shared" ca="1" si="20"/>
        <v>81.999110957877605</v>
      </c>
      <c r="H163" s="50" t="str">
        <f ca="1">IF(I176=C163,I163,"")</f>
        <v/>
      </c>
      <c r="I163" s="11">
        <f t="shared" ca="1" si="21"/>
        <v>42.1</v>
      </c>
      <c r="J163" s="11"/>
      <c r="K163" s="11"/>
      <c r="L163" s="11"/>
      <c r="M163" s="11"/>
      <c r="N163" s="11"/>
      <c r="O163" s="11"/>
      <c r="Q163" s="11"/>
      <c r="R163" s="11"/>
      <c r="S163" s="11"/>
      <c r="T163" s="11"/>
      <c r="U163" s="11"/>
      <c r="V163" s="11"/>
      <c r="X163" s="11"/>
    </row>
    <row r="164" spans="1:24" x14ac:dyDescent="0.3">
      <c r="A164" s="11">
        <f ca="1">'FALL 2'!A164</f>
        <v>26.935136806361843</v>
      </c>
      <c r="B164" s="11">
        <f ca="1">'FALL 2'!B164</f>
        <v>82.996098998149179</v>
      </c>
      <c r="C164" s="11">
        <f t="shared" si="22"/>
        <v>91</v>
      </c>
      <c r="D164" s="11">
        <f ca="1">IF(C164=0,"",(B164*0.01*(K77-K78)+K78))</f>
        <v>82.336257842887406</v>
      </c>
      <c r="E164" s="11"/>
      <c r="F164" s="11">
        <f ca="1">IF(D164="","",(LN((LN((1-D164/100)))/-B50)/-B51))</f>
        <v>42.187251667825876</v>
      </c>
      <c r="G164" s="11">
        <f t="shared" ca="1" si="20"/>
        <v>82.336257842887406</v>
      </c>
      <c r="H164" s="50" t="str">
        <f ca="1">IF(I176=C164,I164,"")</f>
        <v/>
      </c>
      <c r="I164" s="11">
        <f t="shared" ca="1" si="21"/>
        <v>42.2</v>
      </c>
      <c r="J164" s="11"/>
      <c r="K164" s="11"/>
      <c r="L164" s="11"/>
      <c r="M164" s="11"/>
      <c r="N164" s="11"/>
      <c r="O164" s="11"/>
      <c r="Q164" s="11"/>
      <c r="R164" s="11"/>
      <c r="S164" s="11"/>
      <c r="T164" s="11"/>
      <c r="U164" s="11"/>
      <c r="V164" s="11"/>
      <c r="X164" s="11"/>
    </row>
    <row r="165" spans="1:24" x14ac:dyDescent="0.3">
      <c r="A165" s="11">
        <f ca="1">'FALL 2'!A165</f>
        <v>4.3786339455653129</v>
      </c>
      <c r="B165" s="11">
        <f ca="1">'FALL 2'!B165</f>
        <v>88.960234235886745</v>
      </c>
      <c r="C165" s="11">
        <f t="shared" si="22"/>
        <v>92</v>
      </c>
      <c r="D165" s="11">
        <f ca="1">(IF(C165=0,"",B165*0.01*(K77-K78)+K78))</f>
        <v>88.181116183967887</v>
      </c>
      <c r="E165" s="11"/>
      <c r="F165" s="11">
        <f ca="1">IF(D165="","",(LN((LN((1-D165/100)))/-B50)/-B51))</f>
        <v>43.854251910945571</v>
      </c>
      <c r="G165" s="11">
        <f t="shared" ca="1" si="20"/>
        <v>88.181116183967887</v>
      </c>
      <c r="H165" s="50" t="str">
        <f ca="1">IF(I176=C165,I165,"")</f>
        <v/>
      </c>
      <c r="I165" s="11">
        <f t="shared" ca="1" si="21"/>
        <v>43.9</v>
      </c>
      <c r="J165" s="11"/>
      <c r="K165" s="11"/>
      <c r="L165" s="11"/>
      <c r="M165" s="11"/>
      <c r="N165" s="11"/>
      <c r="O165" s="11"/>
      <c r="Q165" s="11"/>
      <c r="R165" s="11"/>
      <c r="S165" s="11"/>
      <c r="T165" s="11"/>
      <c r="U165" s="11"/>
      <c r="V165" s="11"/>
      <c r="X165" s="11"/>
    </row>
    <row r="166" spans="1:24" x14ac:dyDescent="0.3">
      <c r="A166" s="11">
        <f ca="1">'FALL 2'!A166</f>
        <v>79.584477650595773</v>
      </c>
      <c r="B166" s="11">
        <f ca="1">'FALL 2'!B166</f>
        <v>89.472758160042972</v>
      </c>
      <c r="C166" s="11">
        <f t="shared" si="22"/>
        <v>93</v>
      </c>
      <c r="D166" s="11">
        <f ca="1">(IF(C166=0,"",B166*0.01*(K77-K78)+K78))</f>
        <v>88.683390128755931</v>
      </c>
      <c r="E166" s="11"/>
      <c r="F166" s="11">
        <f ca="1">IF(D166="","",(LN((LN((1-D166/100)))/-B50)/-B51))</f>
        <v>44.015246308279814</v>
      </c>
      <c r="G166" s="11">
        <f t="shared" ca="1" si="20"/>
        <v>88.683390128755931</v>
      </c>
      <c r="H166" s="50" t="str">
        <f ca="1">IF(I176=C166,I166,"")</f>
        <v/>
      </c>
      <c r="I166" s="11">
        <f t="shared" ca="1" si="21"/>
        <v>44</v>
      </c>
      <c r="J166" s="11"/>
      <c r="K166" s="11"/>
      <c r="L166" s="11"/>
      <c r="M166" s="11"/>
      <c r="N166" s="11"/>
      <c r="O166" s="11"/>
      <c r="Q166" s="11"/>
      <c r="R166" s="11"/>
      <c r="S166" s="11"/>
      <c r="T166" s="11"/>
      <c r="U166" s="11"/>
      <c r="V166" s="11"/>
      <c r="X166" s="11"/>
    </row>
    <row r="167" spans="1:24" x14ac:dyDescent="0.3">
      <c r="A167" s="11">
        <f ca="1">'FALL 2'!A167</f>
        <v>45.645021212545792</v>
      </c>
      <c r="B167" s="11">
        <f ca="1">'FALL 2'!B167</f>
        <v>91.754603360121138</v>
      </c>
      <c r="C167" s="11">
        <f t="shared" si="22"/>
        <v>94</v>
      </c>
      <c r="D167" s="11">
        <f ca="1">(IF(C167=0,"",B167*0.01*(K77-K78)+K78))</f>
        <v>90.919600646978608</v>
      </c>
      <c r="E167" s="11"/>
      <c r="F167" s="11">
        <f ca="1">IF(D167="","",(LN((LN((1-D167/100)))/-B50)/-B51))</f>
        <v>44.784983994519159</v>
      </c>
      <c r="G167" s="11">
        <f t="shared" ca="1" si="20"/>
        <v>90.919600646978608</v>
      </c>
      <c r="H167" s="50" t="str">
        <f ca="1">IF(I176=C167,I167,"")</f>
        <v/>
      </c>
      <c r="I167" s="11">
        <f t="shared" ca="1" si="21"/>
        <v>44.8</v>
      </c>
      <c r="J167" s="11"/>
      <c r="K167" s="11"/>
      <c r="L167" s="11"/>
      <c r="M167" s="11"/>
      <c r="N167" s="11"/>
      <c r="O167" s="11"/>
      <c r="Q167" s="11"/>
      <c r="R167" s="11"/>
      <c r="S167" s="11"/>
      <c r="T167" s="11"/>
      <c r="U167" s="11"/>
      <c r="V167" s="11"/>
      <c r="X167" s="11"/>
    </row>
    <row r="168" spans="1:24" x14ac:dyDescent="0.3">
      <c r="A168" s="11">
        <f ca="1">'FALL 2'!A168</f>
        <v>45.096774778301601</v>
      </c>
      <c r="B168" s="11">
        <f ca="1">'FALL 2'!B168</f>
        <v>92.069005416099401</v>
      </c>
      <c r="C168" s="11">
        <f t="shared" si="22"/>
        <v>95</v>
      </c>
      <c r="D168" s="11">
        <f ca="1">IF(C168=0,"",(B168*0.01*(K77-K78)+K78))</f>
        <v>91.227714968013785</v>
      </c>
      <c r="E168" s="11"/>
      <c r="F168" s="11">
        <f ca="1">IF(D168="","",(LN((LN((1-D168/100)))/-B50)/-B51))</f>
        <v>44.899234773030642</v>
      </c>
      <c r="G168" s="11">
        <f t="shared" ca="1" si="20"/>
        <v>91.227714968013785</v>
      </c>
      <c r="H168" s="50" t="str">
        <f ca="1">IF(I176=C168,I168,"")</f>
        <v/>
      </c>
      <c r="I168" s="11">
        <f t="shared" ca="1" si="21"/>
        <v>44.9</v>
      </c>
      <c r="J168" s="11"/>
      <c r="K168" s="11"/>
      <c r="L168" s="11"/>
      <c r="M168" s="11"/>
      <c r="N168" s="11"/>
      <c r="O168" s="11"/>
      <c r="Q168" s="11"/>
      <c r="R168" s="11"/>
      <c r="S168" s="11"/>
      <c r="T168" s="11"/>
      <c r="U168" s="11"/>
      <c r="V168" s="11"/>
      <c r="X168" s="11"/>
    </row>
    <row r="169" spans="1:24" x14ac:dyDescent="0.3">
      <c r="A169" s="11">
        <f ca="1">'FALL 2'!A169</f>
        <v>70.917425780520034</v>
      </c>
      <c r="B169" s="11">
        <f ca="1">'FALL 2'!B169</f>
        <v>93.945212033707335</v>
      </c>
      <c r="C169" s="11">
        <f t="shared" si="22"/>
        <v>96</v>
      </c>
      <c r="D169" s="11">
        <f ca="1">IF(C169=0,"",(B169*0.01*(K77-K78)+K78))</f>
        <v>93.066399280389632</v>
      </c>
      <c r="E169" s="11"/>
      <c r="F169" s="11">
        <f ca="1">IF(D169="","",(LN((LN((1-D169/100)))/-B50)/-B51))</f>
        <v>45.637072011201752</v>
      </c>
      <c r="G169" s="11">
        <f t="shared" ca="1" si="20"/>
        <v>93.066399280389632</v>
      </c>
      <c r="H169" s="50" t="str">
        <f ca="1">IF(I176=C169,I169,"")</f>
        <v/>
      </c>
      <c r="I169" s="11">
        <f t="shared" ca="1" si="21"/>
        <v>45.6</v>
      </c>
      <c r="J169" s="11"/>
      <c r="K169" s="11"/>
      <c r="L169" s="11"/>
      <c r="M169" s="11"/>
      <c r="N169" s="11"/>
      <c r="O169" s="11"/>
      <c r="Q169" s="11"/>
      <c r="R169" s="11"/>
      <c r="S169" s="11"/>
      <c r="T169" s="11"/>
      <c r="U169" s="11"/>
      <c r="V169" s="11"/>
      <c r="X169" s="11"/>
    </row>
    <row r="170" spans="1:24" x14ac:dyDescent="0.3">
      <c r="A170" s="11">
        <f ca="1">'FALL 2'!A170</f>
        <v>91.754603360121138</v>
      </c>
      <c r="B170" s="11">
        <f ca="1">'FALL 2'!B170</f>
        <v>95.286660752850921</v>
      </c>
      <c r="C170" s="11">
        <f t="shared" si="22"/>
        <v>97</v>
      </c>
      <c r="D170" s="11">
        <f ca="1">IF(C170=0,"",(B170*0.01*(K77-K78)+K78))</f>
        <v>94.381020331503223</v>
      </c>
      <c r="E170" s="11"/>
      <c r="F170" s="11">
        <f ca="1">IF(D170="","",(LN((LN((1-D170/100)))/-B50)/-B51))</f>
        <v>46.243435032462465</v>
      </c>
      <c r="G170" s="11">
        <f t="shared" ca="1" si="20"/>
        <v>94.381020331503223</v>
      </c>
      <c r="H170" s="50" t="str">
        <f ca="1">IF(I176=C170,I170,"")</f>
        <v/>
      </c>
      <c r="I170" s="11">
        <f t="shared" ca="1" si="21"/>
        <v>46.2</v>
      </c>
      <c r="J170" s="11"/>
      <c r="K170" s="11"/>
      <c r="L170" s="11"/>
      <c r="M170" s="11"/>
      <c r="N170" s="11"/>
      <c r="O170" s="11"/>
      <c r="Q170" s="11"/>
      <c r="R170" s="11"/>
      <c r="S170" s="11"/>
      <c r="T170" s="11"/>
      <c r="U170" s="11"/>
      <c r="V170" s="11"/>
      <c r="X170" s="11"/>
    </row>
    <row r="171" spans="1:24" x14ac:dyDescent="0.3">
      <c r="A171" s="11">
        <f ca="1">'FALL 2'!A171</f>
        <v>70.170321861690041</v>
      </c>
      <c r="B171" s="11">
        <f ca="1">'FALL 2'!B171</f>
        <v>96.792694727048797</v>
      </c>
      <c r="C171" s="11">
        <f t="shared" si="22"/>
        <v>98</v>
      </c>
      <c r="D171" s="11">
        <f ca="1">(IF(C171=0,"",B171*0.01*(K77-K78)+K78))</f>
        <v>95.85693509284927</v>
      </c>
      <c r="E171" s="11"/>
      <c r="F171" s="11">
        <f ca="1">IF(D171="","",(LN((LN((1-D171/100)))/-B50)/-B51))</f>
        <v>47.047965101245723</v>
      </c>
      <c r="G171" s="11">
        <f t="shared" ca="1" si="20"/>
        <v>95.85693509284927</v>
      </c>
      <c r="H171" s="50" t="str">
        <f ca="1">IF(I176=C171,I171,"")</f>
        <v/>
      </c>
      <c r="I171" s="11">
        <f t="shared" ca="1" si="21"/>
        <v>47</v>
      </c>
      <c r="J171" s="11"/>
      <c r="K171" s="11"/>
      <c r="L171" s="11"/>
      <c r="M171" s="11"/>
      <c r="N171" s="11"/>
      <c r="O171" s="11"/>
      <c r="Q171" s="11"/>
      <c r="R171" s="11"/>
      <c r="S171" s="11"/>
      <c r="T171" s="11"/>
      <c r="U171" s="11"/>
      <c r="V171" s="11"/>
      <c r="X171" s="11"/>
    </row>
    <row r="172" spans="1:24" x14ac:dyDescent="0.3">
      <c r="A172" s="11">
        <f ca="1">'FALL 2'!A172</f>
        <v>3.6181460197162254</v>
      </c>
      <c r="B172" s="11">
        <f ca="1">'FALL 2'!B172</f>
        <v>98.068589609092214</v>
      </c>
      <c r="C172" s="11">
        <f t="shared" si="22"/>
        <v>99</v>
      </c>
      <c r="D172" s="11">
        <f ca="1">IF(C172=0,"",(B172*0.01*(K77-K78)+K78))</f>
        <v>97.107313319765922</v>
      </c>
      <c r="E172" s="11"/>
      <c r="F172" s="11">
        <f ca="1">IF(D172="","",(LN((LN((1-D172/100)))/-B50)/-B51))</f>
        <v>47.902953932604234</v>
      </c>
      <c r="G172" s="11">
        <f t="shared" ca="1" si="20"/>
        <v>97.107313319765922</v>
      </c>
      <c r="H172" s="50" t="str">
        <f ca="1">IF(I176=C172,I172,"")</f>
        <v/>
      </c>
      <c r="I172" s="11">
        <f t="shared" ca="1" si="21"/>
        <v>47.9</v>
      </c>
      <c r="J172" s="11"/>
      <c r="K172" s="11"/>
      <c r="L172" s="11"/>
      <c r="M172" s="11"/>
      <c r="N172" s="11"/>
      <c r="O172" s="11"/>
      <c r="Q172" s="11"/>
      <c r="R172" s="11"/>
      <c r="S172" s="11"/>
      <c r="T172" s="11"/>
      <c r="U172" s="11"/>
      <c r="V172" s="11"/>
      <c r="X172" s="11"/>
    </row>
    <row r="173" spans="1:24" x14ac:dyDescent="0.3">
      <c r="A173" s="11">
        <f ca="1">'FALL 2'!A173</f>
        <v>61.705597331283826</v>
      </c>
      <c r="B173" s="11">
        <f ca="1">'FALL 2'!B173</f>
        <v>98.808316937464056</v>
      </c>
      <c r="C173" s="11">
        <f t="shared" si="22"/>
        <v>100</v>
      </c>
      <c r="D173" s="11">
        <f ca="1">IF(C173=0,"",(B173*0.01*(K77-K78)+K78))</f>
        <v>97.832246821944423</v>
      </c>
      <c r="E173" s="11"/>
      <c r="F173" s="11">
        <f ca="1">IF(D173="","",(LN((LN((1-D173/100)))/-B50)/-B51))</f>
        <v>48.528965244961014</v>
      </c>
      <c r="G173" s="11">
        <f t="shared" ca="1" si="20"/>
        <v>97.832246821944423</v>
      </c>
      <c r="H173" s="50" t="str">
        <f ca="1">IF(I176=C173,I173,"")</f>
        <v/>
      </c>
      <c r="I173" s="11">
        <f t="shared" ca="1" si="21"/>
        <v>48.5</v>
      </c>
      <c r="J173" s="11"/>
      <c r="K173" s="11"/>
      <c r="L173" s="11"/>
      <c r="M173" s="11"/>
      <c r="N173" s="11"/>
      <c r="O173" s="11"/>
      <c r="Q173" s="11"/>
      <c r="R173" s="11"/>
      <c r="S173" s="11"/>
      <c r="T173" s="11"/>
      <c r="U173" s="11"/>
      <c r="V173" s="11"/>
      <c r="X173" s="11"/>
    </row>
    <row r="174" spans="1:24" x14ac:dyDescent="0.3">
      <c r="D174" s="11"/>
      <c r="E174" s="11"/>
      <c r="F174" s="11"/>
      <c r="G174" s="11"/>
      <c r="H174" s="11"/>
      <c r="I174" s="11"/>
      <c r="J174" s="11"/>
      <c r="K174" s="11"/>
      <c r="L174" s="11"/>
      <c r="M174" s="11"/>
      <c r="N174" s="11"/>
      <c r="O174" s="11"/>
      <c r="Q174" s="11"/>
      <c r="R174" s="11"/>
      <c r="S174" s="11"/>
      <c r="T174" s="11"/>
      <c r="U174" s="11"/>
      <c r="V174" s="11"/>
      <c r="X174" s="11"/>
    </row>
    <row r="175" spans="1:24" x14ac:dyDescent="0.3">
      <c r="D175" s="11"/>
      <c r="E175" s="11"/>
      <c r="F175" s="11"/>
      <c r="G175" s="11"/>
      <c r="H175" s="11"/>
      <c r="I175" s="11"/>
      <c r="J175" s="11"/>
      <c r="K175" s="11"/>
      <c r="L175" s="11"/>
      <c r="M175" s="11"/>
      <c r="N175" s="11"/>
      <c r="O175" s="11"/>
      <c r="Q175" s="11"/>
      <c r="R175" s="11"/>
      <c r="S175" s="11"/>
      <c r="T175" s="11"/>
      <c r="U175" s="11"/>
      <c r="V175" s="11"/>
      <c r="W175" s="11"/>
    </row>
    <row r="176" spans="1:24" x14ac:dyDescent="0.3">
      <c r="D176" s="11"/>
      <c r="E176" s="11"/>
      <c r="F176" s="11"/>
      <c r="G176" s="11"/>
      <c r="H176" s="50">
        <f ca="1">MAX(H74:H173)</f>
        <v>23.4</v>
      </c>
      <c r="I176" s="50">
        <f ca="1">ROUND(RAND()*(99-1)+1,0)</f>
        <v>15</v>
      </c>
      <c r="J176" s="11"/>
      <c r="K176" s="11"/>
      <c r="L176" s="11"/>
    </row>
    <row r="177" spans="4:19" x14ac:dyDescent="0.3">
      <c r="D177" s="11"/>
      <c r="E177" s="11"/>
      <c r="F177" s="11"/>
      <c r="G177" s="11"/>
      <c r="H177" s="11"/>
      <c r="I177" s="11"/>
      <c r="J177" s="11"/>
      <c r="K177" s="11"/>
      <c r="L177" s="11"/>
    </row>
    <row r="178" spans="4:19" x14ac:dyDescent="0.3">
      <c r="D178" s="11"/>
      <c r="E178" s="11"/>
      <c r="F178" s="11"/>
      <c r="G178" s="11"/>
      <c r="H178" s="11"/>
      <c r="I178" s="11"/>
      <c r="J178" s="11"/>
      <c r="K178" s="11"/>
      <c r="L178" s="11"/>
    </row>
    <row r="179" spans="4:19" x14ac:dyDescent="0.3">
      <c r="D179" s="11"/>
      <c r="E179" s="11"/>
      <c r="F179" s="11"/>
      <c r="G179" s="11"/>
      <c r="H179" s="11"/>
      <c r="I179" s="11"/>
      <c r="J179" s="11"/>
      <c r="K179" s="11"/>
      <c r="L179" s="11"/>
    </row>
    <row r="180" spans="4:19" x14ac:dyDescent="0.3">
      <c r="D180" s="11"/>
      <c r="E180" s="11"/>
      <c r="F180" s="11"/>
      <c r="G180" s="11"/>
      <c r="H180" s="11"/>
      <c r="I180" s="11"/>
      <c r="J180" s="11"/>
      <c r="K180" s="11"/>
      <c r="L180" s="11"/>
    </row>
    <row r="181" spans="4:19" x14ac:dyDescent="0.3">
      <c r="D181" s="11"/>
      <c r="E181" s="11"/>
      <c r="F181" s="11"/>
      <c r="G181" s="11"/>
      <c r="H181" s="11"/>
      <c r="I181" s="11"/>
      <c r="J181" s="11"/>
      <c r="K181" s="11"/>
      <c r="L181" s="11"/>
    </row>
    <row r="182" spans="4:19" x14ac:dyDescent="0.3">
      <c r="D182" s="11"/>
      <c r="E182" s="11"/>
      <c r="F182" s="11"/>
      <c r="G182" s="11"/>
      <c r="H182" s="11"/>
      <c r="I182" s="11"/>
      <c r="J182" s="11"/>
      <c r="K182" s="11"/>
      <c r="L182" s="11"/>
    </row>
    <row r="183" spans="4:19" x14ac:dyDescent="0.3">
      <c r="D183" s="11"/>
      <c r="E183" s="11"/>
      <c r="F183" s="11"/>
      <c r="G183" s="11"/>
      <c r="H183" s="11"/>
      <c r="I183" s="11"/>
      <c r="J183" s="11"/>
      <c r="K183" s="11"/>
      <c r="L183" s="13"/>
      <c r="M183" s="51"/>
      <c r="R183" s="51"/>
      <c r="S183" s="51"/>
    </row>
    <row r="184" spans="4:19" x14ac:dyDescent="0.3">
      <c r="D184" s="11"/>
      <c r="E184" s="11"/>
      <c r="F184" s="11"/>
      <c r="G184" s="11"/>
      <c r="H184" s="11"/>
      <c r="I184" s="11"/>
      <c r="J184" s="11"/>
      <c r="K184" s="11"/>
      <c r="L184" s="11"/>
    </row>
    <row r="185" spans="4:19" x14ac:dyDescent="0.3">
      <c r="D185" s="11"/>
      <c r="E185" s="11"/>
      <c r="F185" s="11"/>
      <c r="G185" s="11"/>
      <c r="H185" s="11"/>
      <c r="I185" s="11"/>
      <c r="J185" s="11"/>
      <c r="K185" s="13"/>
      <c r="L185" s="13"/>
    </row>
    <row r="186" spans="4:19" x14ac:dyDescent="0.3">
      <c r="D186" s="11"/>
      <c r="E186" s="11"/>
      <c r="F186" s="11"/>
      <c r="G186" s="11"/>
      <c r="H186" s="11"/>
      <c r="I186" s="11"/>
      <c r="J186" s="11"/>
      <c r="K186" s="11"/>
      <c r="L186" s="11"/>
    </row>
    <row r="187" spans="4:19" x14ac:dyDescent="0.3">
      <c r="D187" s="11"/>
      <c r="E187" s="11"/>
      <c r="F187" s="11"/>
      <c r="G187" s="11"/>
      <c r="H187" s="11"/>
      <c r="I187" s="11"/>
      <c r="J187" s="11"/>
      <c r="K187" s="11"/>
      <c r="L187" s="11"/>
    </row>
    <row r="188" spans="4:19" x14ac:dyDescent="0.3">
      <c r="D188" s="11"/>
      <c r="E188" s="11"/>
      <c r="F188" s="11"/>
      <c r="G188" s="11"/>
      <c r="H188" s="11"/>
      <c r="I188" s="11"/>
      <c r="J188" s="11"/>
      <c r="K188" s="11"/>
      <c r="L188" s="11"/>
    </row>
    <row r="189" spans="4:19" x14ac:dyDescent="0.3">
      <c r="D189" s="11"/>
      <c r="E189" s="11"/>
      <c r="F189" s="11"/>
      <c r="G189" s="11"/>
      <c r="H189" s="11"/>
      <c r="I189" s="11"/>
      <c r="J189" s="11"/>
      <c r="K189" s="11"/>
    </row>
    <row r="190" spans="4:19" x14ac:dyDescent="0.3">
      <c r="D190" s="11"/>
      <c r="E190" s="11"/>
      <c r="F190" s="11"/>
      <c r="G190" s="11"/>
      <c r="H190" s="11"/>
      <c r="I190" s="11"/>
      <c r="J190" s="11"/>
      <c r="K190" s="11"/>
    </row>
    <row r="3331" spans="2:3" x14ac:dyDescent="0.3">
      <c r="B3331" s="9" t="s">
        <v>5</v>
      </c>
      <c r="C3331" s="9" t="s">
        <v>6</v>
      </c>
    </row>
  </sheetData>
  <mergeCells count="11">
    <mergeCell ref="M72:Q72"/>
    <mergeCell ref="R72:V72"/>
    <mergeCell ref="A1:D1"/>
    <mergeCell ref="A2:D2"/>
    <mergeCell ref="J3:N3"/>
    <mergeCell ref="E4:G4"/>
    <mergeCell ref="E5:F5"/>
    <mergeCell ref="G5:H5"/>
    <mergeCell ref="I5:J5"/>
    <mergeCell ref="K5:L5"/>
    <mergeCell ref="M5:N5"/>
  </mergeCells>
  <dataValidations count="6">
    <dataValidation type="decimal" allowBlank="1" showInputMessage="1" showErrorMessage="1" sqref="B48" xr:uid="{160369C7-B8B4-4248-9F6D-3ED50757CA77}">
      <formula1>(B45)</formula1>
      <formula2>(D45)</formula2>
    </dataValidation>
    <dataValidation type="decimal" allowBlank="1" showInputMessage="1" showErrorMessage="1" sqref="B26 B49" xr:uid="{2FA40FCD-78E2-46D7-97D0-B856041EF140}">
      <formula1>1</formula1>
      <formula2>99</formula2>
    </dataValidation>
    <dataValidation type="decimal" allowBlank="1" showInputMessage="1" showErrorMessage="1" sqref="D76" xr:uid="{00000000-0002-0000-0300-000000000000}">
      <formula1>IF(F56=0,10^15,IF(F58=0,MIN(B6:B45),10^-9))</formula1>
      <formula2>IF(F56=0,10^15,IF(F58=0,MAX(B6:B45),D64-1))</formula2>
    </dataValidation>
    <dataValidation type="decimal" allowBlank="1" showInputMessage="1" showErrorMessage="1" sqref="D73" xr:uid="{00000000-0002-0000-0300-000001000000}">
      <formula1>IF(F56=0,10^15,IF(F58=0,MIN(A6:A45),-10^9))</formula1>
      <formula2>IF(F56=0,10^15,IF(F58=0,MAX(A6:A45),10^9))</formula2>
    </dataValidation>
    <dataValidation type="decimal" allowBlank="1" showInputMessage="1" showErrorMessage="1" sqref="B25" xr:uid="{3B489638-E84F-4578-BB6A-FD1BFCDBAEB4}">
      <formula1>(B23)</formula1>
      <formula2>(D23)</formula2>
    </dataValidation>
    <dataValidation type="whole" operator="equal" allowBlank="1" showInputMessage="1" showErrorMessage="1" sqref="P3:T22" xr:uid="{25C541D5-242C-4E92-9127-97929C2FCB75}">
      <formula1>100000</formula1>
    </dataValidation>
  </dataValidations>
  <pageMargins left="0.7" right="0.7" top="0.78740157499999996" bottom="0.78740157499999996" header="0.3" footer="0.3"/>
  <pageSetup paperSize="9" scale="95" orientation="landscape" horizontalDpi="4294967293" verticalDpi="4294967293" r:id="rId1"/>
  <ignoredErrors>
    <ignoredError sqref="R1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AE44A-26FF-4DA3-8736-62D5A123CB9D}">
  <dimension ref="A1:G21"/>
  <sheetViews>
    <sheetView zoomScale="145" workbookViewId="0">
      <selection activeCell="B12" sqref="B12"/>
    </sheetView>
  </sheetViews>
  <sheetFormatPr baseColWidth="10" defaultRowHeight="14.4" x14ac:dyDescent="0.3"/>
  <cols>
    <col min="2" max="3" width="22.44140625" customWidth="1"/>
    <col min="4" max="4" width="24.6640625" customWidth="1"/>
    <col min="5" max="5" width="24.88671875" customWidth="1"/>
    <col min="6" max="6" width="23.44140625" customWidth="1"/>
    <col min="14" max="14" width="5.77734375" customWidth="1"/>
    <col min="15" max="15" width="8.6640625" customWidth="1"/>
    <col min="16" max="16" width="21.6640625" customWidth="1"/>
    <col min="17" max="17" width="23" customWidth="1"/>
    <col min="18" max="18" width="22.77734375" customWidth="1"/>
    <col min="19" max="19" width="23.33203125" customWidth="1"/>
    <col min="20" max="20" width="23.44140625" customWidth="1"/>
  </cols>
  <sheetData>
    <row r="1" spans="1:7" ht="14.4" customHeight="1" x14ac:dyDescent="0.3">
      <c r="A1" s="134" t="str">
        <f>'FALL 1'!O2</f>
        <v>BESCHRIFTUNG</v>
      </c>
      <c r="B1" s="135"/>
      <c r="C1" s="135" t="str">
        <f>'FALL 1'!Q2</f>
        <v>FALL A</v>
      </c>
      <c r="D1" s="135" t="str">
        <f>'FALL 1'!R2</f>
        <v>DATUM:</v>
      </c>
      <c r="E1" s="136"/>
      <c r="F1" s="135"/>
      <c r="G1" s="137"/>
    </row>
    <row r="2" spans="1:7" x14ac:dyDescent="0.3">
      <c r="A2" s="138"/>
      <c r="B2" s="115" t="str">
        <f ca="1">'FALL 1'!P3</f>
        <v/>
      </c>
      <c r="C2" s="115" t="str">
        <f ca="1">'FALL 1'!Q3</f>
        <v/>
      </c>
      <c r="D2" s="117" t="str">
        <f ca="1">'FALL 1'!R3</f>
        <v/>
      </c>
      <c r="E2" s="116" t="str">
        <f ca="1">'FALL 1'!S3</f>
        <v/>
      </c>
      <c r="F2" s="116" t="str">
        <f ca="1">'FALL 1'!T3</f>
        <v/>
      </c>
      <c r="G2" s="138"/>
    </row>
    <row r="3" spans="1:7" x14ac:dyDescent="0.3">
      <c r="A3" s="138"/>
      <c r="B3" s="115" t="str">
        <f ca="1">'FALL 1'!P4</f>
        <v/>
      </c>
      <c r="C3" s="115" t="str">
        <f ca="1">'FALL 1'!Q4</f>
        <v/>
      </c>
      <c r="D3" s="117" t="str">
        <f ca="1">'FALL 1'!R4</f>
        <v/>
      </c>
      <c r="E3" s="116" t="str">
        <f ca="1">'FALL 1'!S4</f>
        <v/>
      </c>
      <c r="F3" s="116" t="str">
        <f ca="1">'FALL 1'!T4</f>
        <v/>
      </c>
      <c r="G3" s="138"/>
    </row>
    <row r="4" spans="1:7" x14ac:dyDescent="0.3">
      <c r="A4" s="138"/>
      <c r="B4" s="115" t="str">
        <f ca="1">'FALL 1'!P5</f>
        <v/>
      </c>
      <c r="C4" s="115" t="str">
        <f ca="1">'FALL 1'!Q5</f>
        <v/>
      </c>
      <c r="D4" s="117" t="str">
        <f ca="1">'FALL 1'!R5</f>
        <v/>
      </c>
      <c r="E4" s="116" t="str">
        <f ca="1">'FALL 1'!S5</f>
        <v/>
      </c>
      <c r="F4" s="116" t="str">
        <f ca="1">'FALL 1'!T5</f>
        <v/>
      </c>
      <c r="G4" s="138"/>
    </row>
    <row r="5" spans="1:7" x14ac:dyDescent="0.3">
      <c r="A5" s="138"/>
      <c r="B5" s="115" t="str">
        <f ca="1">'FALL 1'!P6</f>
        <v/>
      </c>
      <c r="C5" s="115" t="str">
        <f ca="1">'FALL 1'!Q6</f>
        <v/>
      </c>
      <c r="D5" s="117" t="str">
        <f ca="1">'FALL 1'!R6</f>
        <v/>
      </c>
      <c r="E5" s="116" t="str">
        <f ca="1">'FALL 1'!S6</f>
        <v/>
      </c>
      <c r="F5" s="116" t="str">
        <f ca="1">'FALL 1'!T6</f>
        <v/>
      </c>
      <c r="G5" s="138"/>
    </row>
    <row r="6" spans="1:7" x14ac:dyDescent="0.3">
      <c r="A6" s="138"/>
      <c r="B6" s="115" t="str">
        <f ca="1">'FALL 1'!P7</f>
        <v/>
      </c>
      <c r="C6" s="115" t="str">
        <f ca="1">'FALL 1'!Q7</f>
        <v/>
      </c>
      <c r="D6" s="117" t="str">
        <f ca="1">'FALL 1'!R7</f>
        <v/>
      </c>
      <c r="E6" s="116" t="str">
        <f ca="1">'FALL 1'!S7</f>
        <v/>
      </c>
      <c r="F6" s="116" t="str">
        <f ca="1">'FALL 1'!T7</f>
        <v/>
      </c>
      <c r="G6" s="138"/>
    </row>
    <row r="7" spans="1:7" x14ac:dyDescent="0.3">
      <c r="A7" s="138"/>
      <c r="B7" s="115" t="str">
        <f ca="1">'FALL 1'!P8</f>
        <v/>
      </c>
      <c r="C7" s="115" t="str">
        <f ca="1">'FALL 1'!Q8</f>
        <v/>
      </c>
      <c r="D7" s="117" t="str">
        <f ca="1">'FALL 1'!R8</f>
        <v/>
      </c>
      <c r="E7" s="116" t="str">
        <f ca="1">'FALL 1'!S8</f>
        <v/>
      </c>
      <c r="F7" s="116" t="str">
        <f ca="1">'FALL 1'!T8</f>
        <v/>
      </c>
      <c r="G7" s="138"/>
    </row>
    <row r="8" spans="1:7" x14ac:dyDescent="0.3">
      <c r="A8" s="138"/>
      <c r="B8" s="115" t="str">
        <f ca="1">'FALL 1'!P9</f>
        <v/>
      </c>
      <c r="C8" s="115" t="str">
        <f ca="1">'FALL 1'!Q9</f>
        <v/>
      </c>
      <c r="D8" s="117" t="str">
        <f ca="1">'FALL 1'!R9</f>
        <v/>
      </c>
      <c r="E8" s="116" t="str">
        <f ca="1">'FALL 1'!S9</f>
        <v/>
      </c>
      <c r="F8" s="116" t="str">
        <f ca="1">'FALL 1'!T9</f>
        <v/>
      </c>
      <c r="G8" s="138"/>
    </row>
    <row r="9" spans="1:7" x14ac:dyDescent="0.3">
      <c r="A9" s="138"/>
      <c r="B9" s="115" t="str">
        <f ca="1">'FALL 1'!P10</f>
        <v/>
      </c>
      <c r="C9" s="115" t="str">
        <f ca="1">'FALL 1'!Q10</f>
        <v/>
      </c>
      <c r="D9" s="117" t="str">
        <f ca="1">'FALL 1'!R10</f>
        <v/>
      </c>
      <c r="E9" s="116" t="str">
        <f ca="1">'FALL 1'!S10</f>
        <v/>
      </c>
      <c r="F9" s="116" t="str">
        <f ca="1">'FALL 1'!T10</f>
        <v/>
      </c>
      <c r="G9" s="138"/>
    </row>
    <row r="10" spans="1:7" x14ac:dyDescent="0.3">
      <c r="A10" s="138"/>
      <c r="B10" s="115" t="str">
        <f ca="1">'FALL 1'!P11</f>
        <v/>
      </c>
      <c r="C10" s="115" t="str">
        <f ca="1">'FALL 1'!Q11</f>
        <v/>
      </c>
      <c r="D10" s="117" t="str">
        <f ca="1">'FALL 1'!R11</f>
        <v/>
      </c>
      <c r="E10" s="116" t="str">
        <f ca="1">'FALL 1'!S11</f>
        <v/>
      </c>
      <c r="F10" s="116" t="str">
        <f ca="1">'FALL 1'!T11</f>
        <v/>
      </c>
      <c r="G10" s="138"/>
    </row>
    <row r="11" spans="1:7" ht="21" x14ac:dyDescent="0.4">
      <c r="A11" s="139" t="s">
        <v>141</v>
      </c>
      <c r="B11" s="115" t="str">
        <f ca="1">'FALL 1'!P12</f>
        <v/>
      </c>
      <c r="C11" s="115" t="str">
        <f ca="1">'FALL 1'!Q12</f>
        <v/>
      </c>
      <c r="D11" s="140" t="str">
        <f>'FALL 1'!R12</f>
        <v>●</v>
      </c>
      <c r="E11" s="116" t="str">
        <f ca="1">'FALL 1'!S12</f>
        <v/>
      </c>
      <c r="F11" s="116" t="str">
        <f ca="1">'FALL 1'!T12</f>
        <v/>
      </c>
      <c r="G11" s="141" t="s">
        <v>141</v>
      </c>
    </row>
    <row r="12" spans="1:7" x14ac:dyDescent="0.3">
      <c r="A12" s="138"/>
      <c r="B12" s="115" t="str">
        <f ca="1">'FALL 1'!P13</f>
        <v/>
      </c>
      <c r="C12" s="115" t="str">
        <f ca="1">'FALL 1'!Q13</f>
        <v/>
      </c>
      <c r="D12" s="117" t="str">
        <f ca="1">'FALL 1'!R13</f>
        <v/>
      </c>
      <c r="E12" s="116" t="str">
        <f ca="1">'FALL 1'!S13</f>
        <v/>
      </c>
      <c r="F12" s="116" t="str">
        <f ca="1">'FALL 1'!T13</f>
        <v/>
      </c>
      <c r="G12" s="138"/>
    </row>
    <row r="13" spans="1:7" ht="14.4" customHeight="1" x14ac:dyDescent="0.3">
      <c r="A13" s="138"/>
      <c r="B13" s="115" t="str">
        <f ca="1">'FALL 1'!P14</f>
        <v/>
      </c>
      <c r="C13" s="115" t="str">
        <f ca="1">'FALL 1'!Q14</f>
        <v/>
      </c>
      <c r="D13" s="117" t="str">
        <f ca="1">'FALL 1'!R14</f>
        <v/>
      </c>
      <c r="E13" s="116" t="str">
        <f ca="1">'FALL 1'!S14</f>
        <v/>
      </c>
      <c r="F13" s="116" t="str">
        <f ca="1">'FALL 1'!T14</f>
        <v/>
      </c>
      <c r="G13" s="138"/>
    </row>
    <row r="14" spans="1:7" x14ac:dyDescent="0.3">
      <c r="A14" s="138"/>
      <c r="B14" s="115" t="str">
        <f ca="1">'FALL 1'!P15</f>
        <v/>
      </c>
      <c r="C14" s="115" t="str">
        <f ca="1">'FALL 1'!Q15</f>
        <v/>
      </c>
      <c r="D14" s="117" t="str">
        <f ca="1">'FALL 1'!R15</f>
        <v/>
      </c>
      <c r="E14" s="116" t="str">
        <f ca="1">'FALL 1'!S15</f>
        <v/>
      </c>
      <c r="F14" s="116" t="str">
        <f ca="1">'FALL 1'!T15</f>
        <v/>
      </c>
      <c r="G14" s="138"/>
    </row>
    <row r="15" spans="1:7" x14ac:dyDescent="0.3">
      <c r="A15" s="138"/>
      <c r="B15" s="115" t="str">
        <f ca="1">'FALL 1'!P16</f>
        <v/>
      </c>
      <c r="C15" s="115" t="str">
        <f ca="1">'FALL 1'!Q16</f>
        <v/>
      </c>
      <c r="D15" s="117" t="str">
        <f ca="1">'FALL 1'!R16</f>
        <v/>
      </c>
      <c r="E15" s="116" t="str">
        <f ca="1">'FALL 1'!S16</f>
        <v/>
      </c>
      <c r="F15" s="116" t="str">
        <f ca="1">'FALL 1'!T16</f>
        <v/>
      </c>
      <c r="G15" s="138"/>
    </row>
    <row r="16" spans="1:7" x14ac:dyDescent="0.3">
      <c r="A16" s="138"/>
      <c r="B16" s="115" t="str">
        <f ca="1">'FALL 1'!P17</f>
        <v/>
      </c>
      <c r="C16" s="115" t="str">
        <f ca="1">'FALL 1'!Q17</f>
        <v/>
      </c>
      <c r="D16" s="117" t="str">
        <f ca="1">'FALL 1'!R17</f>
        <v/>
      </c>
      <c r="E16" s="116" t="str">
        <f ca="1">'FALL 1'!S17</f>
        <v/>
      </c>
      <c r="F16" s="116" t="str">
        <f ca="1">'FALL 1'!T17</f>
        <v/>
      </c>
      <c r="G16" s="138"/>
    </row>
    <row r="17" spans="1:7" x14ac:dyDescent="0.3">
      <c r="A17" s="138"/>
      <c r="B17" s="115" t="str">
        <f ca="1">'FALL 1'!P18</f>
        <v/>
      </c>
      <c r="C17" s="115" t="str">
        <f ca="1">'FALL 1'!Q18</f>
        <v/>
      </c>
      <c r="D17" s="117" t="str">
        <f ca="1">'FALL 1'!R18</f>
        <v/>
      </c>
      <c r="E17" s="116" t="str">
        <f ca="1">'FALL 1'!S18</f>
        <v/>
      </c>
      <c r="F17" s="116" t="str">
        <f ca="1">'FALL 1'!T18</f>
        <v/>
      </c>
      <c r="G17" s="138"/>
    </row>
    <row r="18" spans="1:7" x14ac:dyDescent="0.3">
      <c r="A18" s="138"/>
      <c r="B18" s="115" t="str">
        <f ca="1">'FALL 1'!P19</f>
        <v/>
      </c>
      <c r="C18" s="115" t="str">
        <f ca="1">'FALL 1'!Q19</f>
        <v/>
      </c>
      <c r="D18" s="117" t="str">
        <f ca="1">'FALL 1'!R19</f>
        <v/>
      </c>
      <c r="E18" s="116" t="str">
        <f ca="1">'FALL 1'!S19</f>
        <v/>
      </c>
      <c r="F18" s="116" t="str">
        <f ca="1">'FALL 1'!T19</f>
        <v/>
      </c>
      <c r="G18" s="138"/>
    </row>
    <row r="19" spans="1:7" x14ac:dyDescent="0.3">
      <c r="A19" s="142"/>
      <c r="B19" s="115" t="str">
        <f ca="1">'FALL 1'!P20</f>
        <v/>
      </c>
      <c r="C19" s="115" t="str">
        <f ca="1">'FALL 1'!Q20</f>
        <v/>
      </c>
      <c r="D19" s="117" t="str">
        <f ca="1">'FALL 1'!R20</f>
        <v/>
      </c>
      <c r="E19" s="116">
        <f ca="1">'FALL 1'!S20</f>
        <v>31.1</v>
      </c>
      <c r="F19" s="116" t="str">
        <f ca="1">'FALL 1'!T20</f>
        <v/>
      </c>
      <c r="G19" s="138"/>
    </row>
    <row r="20" spans="1:7" x14ac:dyDescent="0.3">
      <c r="A20" s="138"/>
      <c r="B20" s="115" t="str">
        <f ca="1">'FALL 1'!P21</f>
        <v/>
      </c>
      <c r="C20" s="115" t="str">
        <f ca="1">'FALL 1'!Q21</f>
        <v/>
      </c>
      <c r="D20" s="117" t="str">
        <f ca="1">'FALL 1'!R21</f>
        <v/>
      </c>
      <c r="E20" s="116">
        <f ca="1">'FALL 1'!S21</f>
        <v>31.1</v>
      </c>
      <c r="F20" s="116" t="str">
        <f ca="1">'FALL 1'!T21</f>
        <v/>
      </c>
      <c r="G20" s="138"/>
    </row>
    <row r="21" spans="1:7" x14ac:dyDescent="0.3">
      <c r="A21" s="138"/>
      <c r="B21" s="115" t="str">
        <f ca="1">'FALL 1'!P22</f>
        <v/>
      </c>
      <c r="C21" s="115" t="str">
        <f ca="1">'FALL 1'!Q22</f>
        <v/>
      </c>
      <c r="D21" s="117" t="str">
        <f ca="1">'FALL 1'!R22</f>
        <v/>
      </c>
      <c r="E21" s="116">
        <f ca="1">'FALL 1'!S22</f>
        <v>31.1</v>
      </c>
      <c r="F21" s="116" t="str">
        <f ca="1">'FALL 1'!T22</f>
        <v/>
      </c>
      <c r="G21" s="138"/>
    </row>
  </sheetData>
  <dataValidations count="2">
    <dataValidation type="whole" operator="equal" allowBlank="1" showInputMessage="1" showErrorMessage="1" sqref="A2:G10 A12:A21 B11:F21 G12:G21" xr:uid="{5071ED4E-FF9D-40CE-8015-FC1C8FD73E55}">
      <formula1>100000</formula1>
    </dataValidation>
    <dataValidation type="whole" operator="equal" showInputMessage="1" showErrorMessage="1" sqref="A11 G11" xr:uid="{D88461D0-CCE1-4546-BBC6-1C50B1262934}">
      <formula1>100000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EB021-4F4D-4792-8834-A6141AA376EA}">
  <dimension ref="A1:G21"/>
  <sheetViews>
    <sheetView zoomScale="151" zoomScaleNormal="120" workbookViewId="0">
      <selection activeCell="B17" sqref="B17"/>
    </sheetView>
  </sheetViews>
  <sheetFormatPr baseColWidth="10" defaultRowHeight="14.4" x14ac:dyDescent="0.3"/>
  <cols>
    <col min="2" max="2" width="22" customWidth="1"/>
    <col min="3" max="3" width="22.77734375" customWidth="1"/>
    <col min="4" max="4" width="26.21875" customWidth="1"/>
    <col min="5" max="5" width="20.109375" customWidth="1"/>
    <col min="6" max="6" width="21.21875" customWidth="1"/>
    <col min="7" max="7" width="10.5546875" customWidth="1"/>
  </cols>
  <sheetData>
    <row r="1" spans="1:7" ht="14.4" customHeight="1" x14ac:dyDescent="0.3">
      <c r="A1" s="118" t="str">
        <f>'FALL 2'!O2</f>
        <v>BESCHRIFTUNG</v>
      </c>
      <c r="B1" s="118"/>
      <c r="C1" s="120" t="str">
        <f>'FALL 2'!Q2</f>
        <v>FALL B</v>
      </c>
      <c r="D1" s="120" t="str">
        <f>'FALL 2'!R2</f>
        <v>DATUM:</v>
      </c>
      <c r="E1" s="119"/>
      <c r="F1" s="118"/>
      <c r="G1" s="118"/>
    </row>
    <row r="2" spans="1:7" x14ac:dyDescent="0.3">
      <c r="A2" s="121"/>
      <c r="B2" s="115" t="str">
        <f ca="1">'FALL 2'!P3</f>
        <v/>
      </c>
      <c r="C2" s="115" t="str">
        <f ca="1">'FALL 2'!Q3</f>
        <v/>
      </c>
      <c r="D2" s="117" t="str">
        <f ca="1">'FALL 2'!R3</f>
        <v/>
      </c>
      <c r="E2" s="116" t="str">
        <f ca="1">'FALL 2'!S3</f>
        <v/>
      </c>
      <c r="F2" s="116" t="str">
        <f ca="1">'FALL 2'!T3</f>
        <v/>
      </c>
      <c r="G2" s="121"/>
    </row>
    <row r="3" spans="1:7" x14ac:dyDescent="0.3">
      <c r="A3" s="121"/>
      <c r="B3" s="115" t="str">
        <f ca="1">'FALL 2'!P4</f>
        <v/>
      </c>
      <c r="C3" s="115" t="str">
        <f ca="1">'FALL 2'!Q4</f>
        <v/>
      </c>
      <c r="D3" s="117" t="str">
        <f ca="1">'FALL 2'!R4</f>
        <v/>
      </c>
      <c r="E3" s="116" t="str">
        <f ca="1">'FALL 2'!S4</f>
        <v/>
      </c>
      <c r="F3" s="116" t="str">
        <f ca="1">'FALL 2'!T4</f>
        <v/>
      </c>
      <c r="G3" s="121"/>
    </row>
    <row r="4" spans="1:7" x14ac:dyDescent="0.3">
      <c r="A4" s="121"/>
      <c r="B4" s="115" t="str">
        <f ca="1">'FALL 2'!P5</f>
        <v/>
      </c>
      <c r="C4" s="115" t="str">
        <f ca="1">'FALL 2'!Q5</f>
        <v/>
      </c>
      <c r="D4" s="117" t="str">
        <f ca="1">'FALL 2'!R5</f>
        <v/>
      </c>
      <c r="E4" s="116" t="str">
        <f ca="1">'FALL 2'!S5</f>
        <v/>
      </c>
      <c r="F4" s="116" t="str">
        <f ca="1">'FALL 2'!T5</f>
        <v/>
      </c>
      <c r="G4" s="121"/>
    </row>
    <row r="5" spans="1:7" x14ac:dyDescent="0.3">
      <c r="A5" s="121"/>
      <c r="B5" s="115" t="str">
        <f ca="1">'FALL 2'!P6</f>
        <v/>
      </c>
      <c r="C5" s="115" t="str">
        <f ca="1">'FALL 2'!Q6</f>
        <v/>
      </c>
      <c r="D5" s="117" t="str">
        <f ca="1">'FALL 2'!R6</f>
        <v/>
      </c>
      <c r="E5" s="116" t="str">
        <f ca="1">'FALL 2'!S6</f>
        <v/>
      </c>
      <c r="F5" s="116" t="str">
        <f ca="1">'FALL 2'!T6</f>
        <v/>
      </c>
      <c r="G5" s="121"/>
    </row>
    <row r="6" spans="1:7" x14ac:dyDescent="0.3">
      <c r="A6" s="121"/>
      <c r="B6" s="115" t="str">
        <f ca="1">'FALL 2'!P7</f>
        <v/>
      </c>
      <c r="C6" s="115" t="str">
        <f ca="1">'FALL 2'!Q7</f>
        <v/>
      </c>
      <c r="D6" s="117" t="str">
        <f ca="1">'FALL 2'!R7</f>
        <v/>
      </c>
      <c r="E6" s="116" t="str">
        <f ca="1">'FALL 2'!S7</f>
        <v/>
      </c>
      <c r="F6" s="116" t="str">
        <f ca="1">'FALL 2'!T7</f>
        <v/>
      </c>
      <c r="G6" s="121"/>
    </row>
    <row r="7" spans="1:7" x14ac:dyDescent="0.3">
      <c r="A7" s="121"/>
      <c r="B7" s="115" t="str">
        <f ca="1">'FALL 2'!P8</f>
        <v/>
      </c>
      <c r="C7" s="115" t="str">
        <f ca="1">'FALL 2'!Q8</f>
        <v/>
      </c>
      <c r="D7" s="117" t="str">
        <f ca="1">'FALL 2'!R8</f>
        <v/>
      </c>
      <c r="E7" s="116" t="str">
        <f ca="1">'FALL 2'!S8</f>
        <v/>
      </c>
      <c r="F7" s="116" t="str">
        <f ca="1">'FALL 2'!T8</f>
        <v/>
      </c>
      <c r="G7" s="121"/>
    </row>
    <row r="8" spans="1:7" x14ac:dyDescent="0.3">
      <c r="A8" s="121"/>
      <c r="B8" s="115" t="str">
        <f ca="1">'FALL 2'!P9</f>
        <v/>
      </c>
      <c r="C8" s="115" t="str">
        <f ca="1">'FALL 2'!Q9</f>
        <v/>
      </c>
      <c r="D8" s="117" t="str">
        <f ca="1">'FALL 2'!R9</f>
        <v/>
      </c>
      <c r="E8" s="116">
        <f ca="1">'FALL 2'!S9</f>
        <v>18.899999999999999</v>
      </c>
      <c r="F8" s="116" t="str">
        <f ca="1">'FALL 2'!T9</f>
        <v/>
      </c>
      <c r="G8" s="121"/>
    </row>
    <row r="9" spans="1:7" x14ac:dyDescent="0.3">
      <c r="A9" s="121"/>
      <c r="B9" s="115" t="str">
        <f ca="1">'FALL 2'!P10</f>
        <v/>
      </c>
      <c r="C9" s="115" t="str">
        <f ca="1">'FALL 2'!Q10</f>
        <v/>
      </c>
      <c r="D9" s="117" t="str">
        <f ca="1">'FALL 2'!R10</f>
        <v/>
      </c>
      <c r="E9" s="116">
        <f ca="1">'FALL 2'!S10</f>
        <v>18.899999999999999</v>
      </c>
      <c r="F9" s="116" t="str">
        <f ca="1">'FALL 2'!T10</f>
        <v/>
      </c>
      <c r="G9" s="121"/>
    </row>
    <row r="10" spans="1:7" x14ac:dyDescent="0.3">
      <c r="A10" s="121"/>
      <c r="B10" s="115" t="str">
        <f ca="1">'FALL 2'!P11</f>
        <v/>
      </c>
      <c r="C10" s="115" t="str">
        <f ca="1">'FALL 2'!Q11</f>
        <v/>
      </c>
      <c r="D10" s="117" t="str">
        <f ca="1">'FALL 2'!R11</f>
        <v/>
      </c>
      <c r="E10" s="116" t="str">
        <f ca="1">'FALL 2'!S11</f>
        <v/>
      </c>
      <c r="F10" s="116" t="str">
        <f ca="1">'FALL 2'!T11</f>
        <v/>
      </c>
      <c r="G10" s="121"/>
    </row>
    <row r="11" spans="1:7" ht="21" x14ac:dyDescent="0.4">
      <c r="A11" s="122" t="str">
        <f>'FALL 2'!O12</f>
        <v>●</v>
      </c>
      <c r="B11" s="115" t="str">
        <f ca="1">'FALL 2'!P12</f>
        <v/>
      </c>
      <c r="C11" s="115" t="str">
        <f ca="1">'FALL 2'!Q12</f>
        <v/>
      </c>
      <c r="D11" s="123" t="str">
        <f>'FALL 2'!R12</f>
        <v>●</v>
      </c>
      <c r="E11" s="116" t="str">
        <f ca="1">'FALL 2'!S12</f>
        <v/>
      </c>
      <c r="F11" s="116" t="str">
        <f ca="1">'FALL 2'!T12</f>
        <v/>
      </c>
      <c r="G11" s="124" t="str">
        <f>'FALL 2'!U12</f>
        <v>●</v>
      </c>
    </row>
    <row r="12" spans="1:7" x14ac:dyDescent="0.3">
      <c r="A12" s="121"/>
      <c r="B12" s="115" t="str">
        <f ca="1">'FALL 2'!P13</f>
        <v/>
      </c>
      <c r="C12" s="115" t="str">
        <f ca="1">'FALL 2'!Q13</f>
        <v/>
      </c>
      <c r="D12" s="117" t="str">
        <f ca="1">'FALL 2'!R13</f>
        <v/>
      </c>
      <c r="E12" s="116" t="str">
        <f ca="1">'FALL 2'!S13</f>
        <v/>
      </c>
      <c r="F12" s="116" t="str">
        <f ca="1">'FALL 2'!T13</f>
        <v/>
      </c>
      <c r="G12" s="121"/>
    </row>
    <row r="13" spans="1:7" x14ac:dyDescent="0.3">
      <c r="A13" s="121"/>
      <c r="B13" s="115" t="str">
        <f ca="1">'FALL 2'!P14</f>
        <v/>
      </c>
      <c r="C13" s="115" t="str">
        <f ca="1">'FALL 2'!Q14</f>
        <v/>
      </c>
      <c r="D13" s="117" t="str">
        <f ca="1">'FALL 2'!R14</f>
        <v/>
      </c>
      <c r="E13" s="116" t="str">
        <f ca="1">'FALL 2'!S14</f>
        <v/>
      </c>
      <c r="F13" s="116" t="str">
        <f ca="1">'FALL 2'!T14</f>
        <v/>
      </c>
      <c r="G13" s="121"/>
    </row>
    <row r="14" spans="1:7" x14ac:dyDescent="0.3">
      <c r="A14" s="121"/>
      <c r="B14" s="115" t="str">
        <f ca="1">'FALL 2'!P15</f>
        <v/>
      </c>
      <c r="C14" s="115" t="str">
        <f ca="1">'FALL 2'!Q15</f>
        <v/>
      </c>
      <c r="D14" s="117" t="str">
        <f ca="1">'FALL 2'!R15</f>
        <v/>
      </c>
      <c r="E14" s="116" t="str">
        <f ca="1">'FALL 2'!S15</f>
        <v/>
      </c>
      <c r="F14" s="116" t="str">
        <f ca="1">'FALL 2'!T15</f>
        <v/>
      </c>
      <c r="G14" s="121"/>
    </row>
    <row r="15" spans="1:7" x14ac:dyDescent="0.3">
      <c r="A15" s="121"/>
      <c r="B15" s="115" t="str">
        <f ca="1">'FALL 2'!P16</f>
        <v/>
      </c>
      <c r="C15" s="115" t="str">
        <f ca="1">'FALL 2'!Q16</f>
        <v/>
      </c>
      <c r="D15" s="117" t="str">
        <f ca="1">'FALL 2'!R16</f>
        <v/>
      </c>
      <c r="E15" s="116" t="str">
        <f ca="1">'FALL 2'!S16</f>
        <v/>
      </c>
      <c r="F15" s="116" t="str">
        <f ca="1">'FALL 2'!T16</f>
        <v/>
      </c>
      <c r="G15" s="121"/>
    </row>
    <row r="16" spans="1:7" ht="14.4" customHeight="1" x14ac:dyDescent="0.3">
      <c r="A16" s="121"/>
      <c r="B16" s="115" t="str">
        <f ca="1">'FALL 2'!P17</f>
        <v/>
      </c>
      <c r="C16" s="115" t="str">
        <f ca="1">'FALL 2'!Q17</f>
        <v/>
      </c>
      <c r="D16" s="117" t="str">
        <f ca="1">'FALL 2'!R17</f>
        <v/>
      </c>
      <c r="E16" s="116" t="str">
        <f ca="1">'FALL 2'!S17</f>
        <v/>
      </c>
      <c r="F16" s="116" t="str">
        <f ca="1">'FALL 2'!T17</f>
        <v/>
      </c>
      <c r="G16" s="121"/>
    </row>
    <row r="17" spans="1:7" x14ac:dyDescent="0.3">
      <c r="A17" s="121"/>
      <c r="B17" s="115" t="str">
        <f ca="1">'FALL 2'!P18</f>
        <v/>
      </c>
      <c r="C17" s="115" t="str">
        <f ca="1">'FALL 2'!Q18</f>
        <v/>
      </c>
      <c r="D17" s="117" t="str">
        <f ca="1">'FALL 2'!R18</f>
        <v/>
      </c>
      <c r="E17" s="116" t="str">
        <f ca="1">'FALL 2'!S18</f>
        <v/>
      </c>
      <c r="F17" s="116" t="str">
        <f ca="1">'FALL 2'!T18</f>
        <v/>
      </c>
      <c r="G17" s="121"/>
    </row>
    <row r="18" spans="1:7" x14ac:dyDescent="0.3">
      <c r="A18" s="121"/>
      <c r="B18" s="115" t="str">
        <f ca="1">'FALL 2'!P19</f>
        <v/>
      </c>
      <c r="C18" s="115" t="str">
        <f ca="1">'FALL 2'!Q19</f>
        <v/>
      </c>
      <c r="D18" s="117" t="str">
        <f ca="1">'FALL 2'!R19</f>
        <v/>
      </c>
      <c r="E18" s="116" t="str">
        <f ca="1">'FALL 2'!S19</f>
        <v/>
      </c>
      <c r="F18" s="116" t="str">
        <f ca="1">'FALL 2'!T19</f>
        <v/>
      </c>
      <c r="G18" s="121"/>
    </row>
    <row r="19" spans="1:7" x14ac:dyDescent="0.3">
      <c r="A19" s="121"/>
      <c r="B19" s="115" t="str">
        <f ca="1">'FALL 2'!P20</f>
        <v/>
      </c>
      <c r="C19" s="115" t="str">
        <f ca="1">'FALL 2'!Q20</f>
        <v/>
      </c>
      <c r="D19" s="117" t="str">
        <f ca="1">'FALL 2'!R20</f>
        <v/>
      </c>
      <c r="E19" s="116" t="str">
        <f ca="1">'FALL 2'!S20</f>
        <v/>
      </c>
      <c r="F19" s="116" t="str">
        <f ca="1">'FALL 2'!T20</f>
        <v/>
      </c>
      <c r="G19" s="121"/>
    </row>
    <row r="20" spans="1:7" x14ac:dyDescent="0.3">
      <c r="A20" s="121"/>
      <c r="B20" s="115" t="str">
        <f ca="1">'FALL 2'!P21</f>
        <v/>
      </c>
      <c r="C20" s="115" t="str">
        <f ca="1">'FALL 2'!Q21</f>
        <v/>
      </c>
      <c r="D20" s="117" t="str">
        <f ca="1">'FALL 2'!R21</f>
        <v/>
      </c>
      <c r="E20" s="116" t="str">
        <f ca="1">'FALL 2'!S21</f>
        <v/>
      </c>
      <c r="F20" s="116" t="str">
        <f ca="1">'FALL 2'!T21</f>
        <v/>
      </c>
      <c r="G20" s="121"/>
    </row>
    <row r="21" spans="1:7" x14ac:dyDescent="0.3">
      <c r="A21" s="121"/>
      <c r="B21" s="115" t="str">
        <f ca="1">'FALL 2'!P22</f>
        <v/>
      </c>
      <c r="C21" s="115" t="str">
        <f ca="1">'FALL 2'!Q22</f>
        <v/>
      </c>
      <c r="D21" s="117" t="str">
        <f ca="1">'FALL 2'!R22</f>
        <v/>
      </c>
      <c r="E21" s="116" t="str">
        <f ca="1">'FALL 2'!S22</f>
        <v/>
      </c>
      <c r="F21" s="116" t="str">
        <f ca="1">'FALL 2'!T22</f>
        <v/>
      </c>
      <c r="G21" s="121"/>
    </row>
  </sheetData>
  <dataValidations count="2">
    <dataValidation type="whole" operator="equal" allowBlank="1" showInputMessage="1" showErrorMessage="1" sqref="B2:F21" xr:uid="{2C5DF7A8-DFC2-46B9-A53B-11E9046B6879}">
      <formula1>100000</formula1>
    </dataValidation>
    <dataValidation type="whole" operator="equal" showInputMessage="1" showErrorMessage="1" sqref="A11 G11" xr:uid="{1308EADA-AF96-4341-A86F-BA8AE8D596A6}">
      <formula1>100000</formula1>
    </dataValidation>
  </dataValidations>
  <pageMargins left="0.7" right="0.7" top="0.78740157499999996" bottom="0.78740157499999996"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247"/>
  <sheetViews>
    <sheetView topLeftCell="O2" zoomScale="131" zoomScaleNormal="100" workbookViewId="0">
      <selection activeCell="O2" sqref="O2:U22"/>
    </sheetView>
  </sheetViews>
  <sheetFormatPr baseColWidth="10" defaultRowHeight="14.4" x14ac:dyDescent="0.3"/>
  <cols>
    <col min="1" max="1" width="39.44140625" style="9" customWidth="1"/>
    <col min="2" max="2" width="36.5546875" style="9" customWidth="1"/>
    <col min="3" max="3" width="22" style="9" customWidth="1"/>
    <col min="4" max="4" width="22.33203125" style="9" customWidth="1"/>
    <col min="5" max="5" width="21.44140625" style="9" customWidth="1"/>
    <col min="6" max="6" width="16.109375" style="9" customWidth="1"/>
    <col min="7" max="7" width="11" style="9" customWidth="1"/>
    <col min="8" max="8" width="12.109375" style="9" customWidth="1"/>
    <col min="9" max="9" width="10.109375" style="9" customWidth="1"/>
    <col min="10" max="10" width="12.21875" style="9" customWidth="1"/>
    <col min="11" max="11" width="12.44140625" style="9" customWidth="1"/>
    <col min="12" max="12" width="12" style="9" bestFit="1" customWidth="1"/>
    <col min="13" max="13" width="10.44140625" style="9" customWidth="1"/>
    <col min="14" max="14" width="13.33203125" style="9" customWidth="1"/>
    <col min="15" max="15" width="11.5546875" style="9"/>
    <col min="16" max="16" width="21.44140625" style="9" customWidth="1"/>
    <col min="17" max="17" width="19" style="9" customWidth="1"/>
    <col min="18" max="18" width="21.88671875" style="9" customWidth="1"/>
    <col min="19" max="19" width="18.88671875" style="9" customWidth="1"/>
    <col min="20" max="20" width="19" style="9" customWidth="1"/>
    <col min="21" max="21" width="20" style="9" customWidth="1"/>
    <col min="22" max="22" width="11.5546875" style="9"/>
    <col min="23" max="23" width="14.21875" style="9" customWidth="1"/>
    <col min="24" max="16384" width="11.5546875" style="9"/>
  </cols>
  <sheetData>
    <row r="1" spans="1:23" ht="18" x14ac:dyDescent="0.35">
      <c r="A1" s="161" t="str">
        <f>'FALL 3'!A1</f>
        <v>ABFRAGE DER UNTERSCHREITUNGSHÄUFIGKEIT EINER GEZOGENEN ZUFALLSZAHL</v>
      </c>
      <c r="B1" s="169"/>
      <c r="C1" s="169"/>
      <c r="D1" s="170"/>
      <c r="E1" s="6"/>
      <c r="F1" s="7"/>
      <c r="G1" s="7"/>
      <c r="H1" s="7"/>
      <c r="I1" s="7"/>
      <c r="J1" s="7"/>
      <c r="K1" s="7"/>
      <c r="L1" s="7"/>
      <c r="M1" s="7"/>
      <c r="N1" s="8"/>
    </row>
    <row r="2" spans="1:23" ht="18" x14ac:dyDescent="0.35">
      <c r="A2" s="159" t="str">
        <f>'FALL 3'!$A$2</f>
        <v>INNERHALB DES FESTGELEGTEN ENTNAHMEBEREICHS</v>
      </c>
      <c r="B2" s="171"/>
      <c r="C2" s="171"/>
      <c r="D2" s="172"/>
      <c r="E2" s="10" t="str">
        <f>'FALL 1'!E2</f>
        <v>BANDBREITE DER URNE von</v>
      </c>
      <c r="F2" s="11"/>
      <c r="G2" s="12">
        <f>'FALL 1'!G2</f>
        <v>1</v>
      </c>
      <c r="H2" s="13" t="str">
        <f>'FALL 1'!H2</f>
        <v>bis</v>
      </c>
      <c r="I2" s="12">
        <f>'FALL 1'!I2</f>
        <v>50</v>
      </c>
      <c r="J2" s="14"/>
      <c r="K2" s="14"/>
      <c r="L2" s="14"/>
      <c r="M2" s="14"/>
      <c r="N2" s="15"/>
      <c r="O2" s="16" t="s">
        <v>144</v>
      </c>
      <c r="P2" s="17"/>
      <c r="Q2" s="17" t="s">
        <v>151</v>
      </c>
      <c r="R2" s="17" t="s">
        <v>146</v>
      </c>
      <c r="S2" s="18"/>
      <c r="T2" s="17"/>
      <c r="U2" s="17"/>
    </row>
    <row r="3" spans="1:23" ht="15.6" customHeight="1" x14ac:dyDescent="0.45">
      <c r="A3" s="19"/>
      <c r="D3" s="20"/>
      <c r="E3" s="10" t="str">
        <f>'FALL 1'!E3</f>
        <v>ZUFALLSZAHLEN von</v>
      </c>
      <c r="F3" s="11"/>
      <c r="G3" s="12">
        <f>'FALL 1'!G3</f>
        <v>1</v>
      </c>
      <c r="H3" s="13" t="str">
        <f>'FALL 1'!H3</f>
        <v>bis</v>
      </c>
      <c r="I3" s="12">
        <f>'FALL 1'!I3</f>
        <v>50</v>
      </c>
      <c r="J3" s="164" t="str">
        <f>'FALL 1'!J3</f>
        <v>GEZOGENE ZUFALLSZAHLEN</v>
      </c>
      <c r="K3" s="165"/>
      <c r="L3" s="165"/>
      <c r="M3" s="166"/>
      <c r="N3" s="167"/>
      <c r="O3" s="21"/>
      <c r="P3" s="22" t="str">
        <f ca="1">IF($H$176=I74,I74,"")</f>
        <v/>
      </c>
      <c r="Q3" s="22" t="str">
        <f ca="1">IF($H$176=I94,I94,"")</f>
        <v/>
      </c>
      <c r="R3" s="23" t="str">
        <f ca="1">IF($H$176=I114,I114,"")</f>
        <v/>
      </c>
      <c r="S3" s="24" t="str">
        <f ca="1">IF($H$176=I134,I134,"")</f>
        <v/>
      </c>
      <c r="T3" s="24" t="str">
        <f ca="1">IF($H$176=I154,I154,"")</f>
        <v/>
      </c>
      <c r="U3" s="21"/>
    </row>
    <row r="4" spans="1:23" ht="15.6" x14ac:dyDescent="0.3">
      <c r="A4" s="25"/>
      <c r="D4" s="20"/>
      <c r="E4" s="157" t="str">
        <f>'FALL 1'!E4</f>
        <v>GEZOGENE ZUFALLSZAHLEN (unten):</v>
      </c>
      <c r="F4" s="158"/>
      <c r="G4" s="149"/>
      <c r="H4" s="13" t="str">
        <f>'FALL 1'!H4</f>
        <v>ANZAHL ZZ</v>
      </c>
      <c r="I4" s="12">
        <f>'FALL 1'!I4</f>
        <v>100</v>
      </c>
      <c r="J4" s="12"/>
      <c r="K4" s="12" t="str">
        <f>'FALL 1'!K4</f>
        <v>r für ZZ:</v>
      </c>
      <c r="L4" s="12">
        <f ca="1">'FALL 6'!$M$183</f>
        <v>0.99619635986906463</v>
      </c>
      <c r="M4" s="12" t="str">
        <f>'FALL 1'!M4</f>
        <v>r für ZZ:</v>
      </c>
      <c r="N4" s="26">
        <f ca="1">'FALL 6'!$R$183</f>
        <v>0.99592091441328545</v>
      </c>
      <c r="O4" s="21"/>
      <c r="P4" s="22" t="str">
        <f t="shared" ref="P4:P22" ca="1" si="0">IF($H$176=I75,I75,"")</f>
        <v/>
      </c>
      <c r="Q4" s="22" t="str">
        <f t="shared" ref="Q4:Q22" ca="1" si="1">IF($H$176=I95,I95,"")</f>
        <v/>
      </c>
      <c r="R4" s="23" t="str">
        <f t="shared" ref="R4:R11" ca="1" si="2">IF($H$176=I115,I115,"")</f>
        <v/>
      </c>
      <c r="S4" s="24" t="str">
        <f t="shared" ref="S4:S22" ca="1" si="3">IF($H$176=I135,I135,"")</f>
        <v/>
      </c>
      <c r="T4" s="24" t="str">
        <f t="shared" ref="T4:T22" ca="1" si="4">IF($H$176=I155,I155,"")</f>
        <v/>
      </c>
      <c r="U4" s="21"/>
    </row>
    <row r="5" spans="1:23" ht="15.6" x14ac:dyDescent="0.3">
      <c r="A5" s="19"/>
      <c r="B5" s="11"/>
      <c r="C5" s="11"/>
      <c r="D5" s="27"/>
      <c r="E5" s="152" t="str">
        <f>'FALL 1'!E5</f>
        <v>Ziehung 1 bis 20, sortiert</v>
      </c>
      <c r="F5" s="153"/>
      <c r="G5" s="155" t="str">
        <f>'FALL 1'!G5</f>
        <v>Ziehung 21 bis 40, sortiert</v>
      </c>
      <c r="H5" s="155"/>
      <c r="I5" s="155" t="str">
        <f>'FALL 1'!I5</f>
        <v>Ziehung 41 bis 60, sortiert</v>
      </c>
      <c r="J5" s="155"/>
      <c r="K5" s="155" t="str">
        <f>'FALL 1'!K5</f>
        <v>Ziehung 61 bis 80, sortiert</v>
      </c>
      <c r="L5" s="155"/>
      <c r="M5" s="155" t="str">
        <f>'FALL 1'!M5</f>
        <v>Ziehung 81 bis 100, sortiert</v>
      </c>
      <c r="N5" s="156"/>
      <c r="O5" s="21"/>
      <c r="P5" s="22" t="str">
        <f t="shared" ca="1" si="0"/>
        <v/>
      </c>
      <c r="Q5" s="22" t="str">
        <f t="shared" ca="1" si="1"/>
        <v/>
      </c>
      <c r="R5" s="23" t="str">
        <f t="shared" ca="1" si="2"/>
        <v/>
      </c>
      <c r="S5" s="24" t="str">
        <f t="shared" ca="1" si="3"/>
        <v/>
      </c>
      <c r="T5" s="24" t="str">
        <f t="shared" ca="1" si="4"/>
        <v/>
      </c>
      <c r="U5" s="21"/>
      <c r="V5" s="11"/>
      <c r="W5" s="11"/>
    </row>
    <row r="6" spans="1:23" ht="15.6" x14ac:dyDescent="0.3">
      <c r="A6" s="19"/>
      <c r="B6" s="11"/>
      <c r="C6" s="11"/>
      <c r="D6" s="28"/>
      <c r="E6" s="29" t="s">
        <v>72</v>
      </c>
      <c r="F6" s="12" t="str">
        <f>'FALL 1'!F6</f>
        <v>ganze Zahl</v>
      </c>
      <c r="G6" s="12" t="str">
        <f>'FALL 1'!G6</f>
        <v>Zufallszahl</v>
      </c>
      <c r="H6" s="12" t="str">
        <f>'FALL 1'!H6</f>
        <v>ganze Zahl</v>
      </c>
      <c r="I6" s="12" t="str">
        <f>'FALL 1'!I6</f>
        <v>Zufallszahl</v>
      </c>
      <c r="J6" s="12" t="str">
        <f>'FALL 1'!J6</f>
        <v>ganze Zahl</v>
      </c>
      <c r="K6" s="30" t="str">
        <f>'FALL 1'!K6</f>
        <v>Zufallszahl</v>
      </c>
      <c r="L6" s="12" t="str">
        <f>'FALL 1'!L6</f>
        <v>ganze Zahl</v>
      </c>
      <c r="M6" s="30" t="str">
        <f>'FALL 1'!M6</f>
        <v>Zufallszahl</v>
      </c>
      <c r="N6" s="26" t="str">
        <f>'FALL 1'!N6</f>
        <v>ganze Zahl</v>
      </c>
      <c r="O6" s="21"/>
      <c r="P6" s="22" t="str">
        <f t="shared" ca="1" si="0"/>
        <v/>
      </c>
      <c r="Q6" s="22" t="str">
        <f t="shared" ca="1" si="1"/>
        <v/>
      </c>
      <c r="R6" s="23" t="str">
        <f t="shared" ca="1" si="2"/>
        <v/>
      </c>
      <c r="S6" s="24" t="str">
        <f t="shared" ca="1" si="3"/>
        <v/>
      </c>
      <c r="T6" s="24" t="str">
        <f t="shared" ca="1" si="4"/>
        <v/>
      </c>
      <c r="U6" s="21"/>
      <c r="V6" s="11"/>
    </row>
    <row r="7" spans="1:23" ht="15.6" x14ac:dyDescent="0.3">
      <c r="A7" s="19"/>
      <c r="B7" s="11"/>
      <c r="C7" s="11"/>
      <c r="D7" s="28"/>
      <c r="E7" s="31">
        <f ca="1">IF(C23=0,"",I74)</f>
        <v>1.7</v>
      </c>
      <c r="F7" s="13">
        <f ca="1">IF(E7="","",ROUND(E7,0))</f>
        <v>2</v>
      </c>
      <c r="G7" s="13">
        <f ca="1">IF(C23=0,"",I94)</f>
        <v>4</v>
      </c>
      <c r="H7" s="13">
        <f ca="1">IF(G7="","",ROUND(G7,0))</f>
        <v>4</v>
      </c>
      <c r="I7" s="13">
        <f ca="1">IF(C23=0,"",I114)</f>
        <v>5.3</v>
      </c>
      <c r="J7" s="13">
        <f ca="1">IF(I7="","",ROUND(I7,0))</f>
        <v>5</v>
      </c>
      <c r="K7" s="13">
        <f ca="1">IF(C23=0,"",I134)</f>
        <v>7.7</v>
      </c>
      <c r="L7" s="13">
        <f ca="1">IF(K7="","",ROUND(K7,0))</f>
        <v>8</v>
      </c>
      <c r="M7" s="13">
        <f ca="1">IF(C23=0,"",I154)</f>
        <v>11.3</v>
      </c>
      <c r="N7" s="32">
        <f ca="1">IF(M7="","",ROUND(M7,0))</f>
        <v>11</v>
      </c>
      <c r="O7" s="21"/>
      <c r="P7" s="22" t="str">
        <f t="shared" ca="1" si="0"/>
        <v/>
      </c>
      <c r="Q7" s="22" t="str">
        <f t="shared" ca="1" si="1"/>
        <v/>
      </c>
      <c r="R7" s="23" t="str">
        <f t="shared" ca="1" si="2"/>
        <v/>
      </c>
      <c r="S7" s="24" t="str">
        <f t="shared" ca="1" si="3"/>
        <v/>
      </c>
      <c r="T7" s="24" t="str">
        <f t="shared" ca="1" si="4"/>
        <v/>
      </c>
      <c r="U7" s="21"/>
      <c r="V7" s="11"/>
    </row>
    <row r="8" spans="1:23" ht="15.6" x14ac:dyDescent="0.3">
      <c r="A8" s="19"/>
      <c r="B8" s="11"/>
      <c r="C8" s="11"/>
      <c r="D8" s="28"/>
      <c r="E8" s="31">
        <f ca="1">IF(C23=0,"",I75)</f>
        <v>1.9</v>
      </c>
      <c r="F8" s="13">
        <f t="shared" ref="F8:F26" ca="1" si="5">IF(E8="","",ROUND(E8,0))</f>
        <v>2</v>
      </c>
      <c r="G8" s="13">
        <f ca="1">IF(C23=0,"",I95)</f>
        <v>4</v>
      </c>
      <c r="H8" s="13">
        <f t="shared" ref="H8:H26" ca="1" si="6">IF(G8="","",ROUND(G8,0))</f>
        <v>4</v>
      </c>
      <c r="I8" s="13">
        <f ca="1">IF(C23=0,"",I115)</f>
        <v>5.4</v>
      </c>
      <c r="J8" s="13">
        <f t="shared" ref="J8:J26" ca="1" si="7">IF(I8="","",ROUND(I8,0))</f>
        <v>5</v>
      </c>
      <c r="K8" s="13">
        <f ca="1">IF(C23=0,"",I135)</f>
        <v>7.8</v>
      </c>
      <c r="L8" s="13">
        <f t="shared" ref="L8:L26" ca="1" si="8">IF(K8="","",ROUND(K8,0))</f>
        <v>8</v>
      </c>
      <c r="M8" s="13">
        <f ca="1">IF(C23=0,"",I155)</f>
        <v>11.3</v>
      </c>
      <c r="N8" s="32">
        <f t="shared" ref="N8:N26" ca="1" si="9">IF(M8="","",ROUND(M8,0))</f>
        <v>11</v>
      </c>
      <c r="O8" s="21"/>
      <c r="P8" s="22" t="str">
        <f t="shared" ca="1" si="0"/>
        <v/>
      </c>
      <c r="Q8" s="22" t="str">
        <f t="shared" ca="1" si="1"/>
        <v/>
      </c>
      <c r="R8" s="23">
        <f t="shared" ca="1" si="2"/>
        <v>6.2</v>
      </c>
      <c r="S8" s="24" t="str">
        <f t="shared" ca="1" si="3"/>
        <v/>
      </c>
      <c r="T8" s="24" t="str">
        <f t="shared" ca="1" si="4"/>
        <v/>
      </c>
      <c r="U8" s="21"/>
      <c r="V8" s="11"/>
    </row>
    <row r="9" spans="1:23" ht="15.6" x14ac:dyDescent="0.3">
      <c r="A9" s="19"/>
      <c r="B9" s="11"/>
      <c r="C9" s="11"/>
      <c r="D9" s="28"/>
      <c r="E9" s="31">
        <f ca="1">IF(C23=0,"",I76)</f>
        <v>1.9</v>
      </c>
      <c r="F9" s="13">
        <f t="shared" ca="1" si="5"/>
        <v>2</v>
      </c>
      <c r="G9" s="13">
        <f ca="1">IF(C23=0,"",I96)</f>
        <v>4</v>
      </c>
      <c r="H9" s="13">
        <f t="shared" ca="1" si="6"/>
        <v>4</v>
      </c>
      <c r="I9" s="13">
        <f ca="1">IF(C23=0,"",I116)</f>
        <v>5.8</v>
      </c>
      <c r="J9" s="13">
        <f t="shared" ca="1" si="7"/>
        <v>6</v>
      </c>
      <c r="K9" s="13">
        <f ca="1">IF(C23=0,"",I136)</f>
        <v>8</v>
      </c>
      <c r="L9" s="13">
        <f t="shared" ca="1" si="8"/>
        <v>8</v>
      </c>
      <c r="M9" s="13">
        <f ca="1">IF(C23=0,"",I156)</f>
        <v>11.4</v>
      </c>
      <c r="N9" s="32">
        <f t="shared" ca="1" si="9"/>
        <v>11</v>
      </c>
      <c r="O9" s="21"/>
      <c r="P9" s="22" t="str">
        <f t="shared" ca="1" si="0"/>
        <v/>
      </c>
      <c r="Q9" s="22" t="str">
        <f t="shared" ca="1" si="1"/>
        <v/>
      </c>
      <c r="R9" s="23">
        <f t="shared" ca="1" si="2"/>
        <v>6.2</v>
      </c>
      <c r="S9" s="24" t="str">
        <f t="shared" ca="1" si="3"/>
        <v/>
      </c>
      <c r="T9" s="24" t="str">
        <f t="shared" ca="1" si="4"/>
        <v/>
      </c>
      <c r="U9" s="21"/>
      <c r="V9" s="11"/>
    </row>
    <row r="10" spans="1:23" ht="15.6" x14ac:dyDescent="0.3">
      <c r="A10" s="19"/>
      <c r="B10" s="11"/>
      <c r="C10" s="11"/>
      <c r="D10" s="28"/>
      <c r="E10" s="31">
        <f ca="1">IF(C23=0,"",I77)</f>
        <v>2.1</v>
      </c>
      <c r="F10" s="13">
        <f t="shared" ca="1" si="5"/>
        <v>2</v>
      </c>
      <c r="G10" s="13">
        <f ca="1">IF(C23=0,"",I97)</f>
        <v>4.2</v>
      </c>
      <c r="H10" s="13">
        <f t="shared" ca="1" si="6"/>
        <v>4</v>
      </c>
      <c r="I10" s="13">
        <f ca="1">IF(C23=0,"",I117)</f>
        <v>6</v>
      </c>
      <c r="J10" s="13">
        <f t="shared" ca="1" si="7"/>
        <v>6</v>
      </c>
      <c r="K10" s="13">
        <f ca="1">IF(C23=0,"",I137)</f>
        <v>8</v>
      </c>
      <c r="L10" s="13">
        <f t="shared" ca="1" si="8"/>
        <v>8</v>
      </c>
      <c r="M10" s="13">
        <f ca="1">IF(C23=0,"",I157)</f>
        <v>11.4</v>
      </c>
      <c r="N10" s="32">
        <f t="shared" ca="1" si="9"/>
        <v>11</v>
      </c>
      <c r="O10" s="21"/>
      <c r="P10" s="22" t="str">
        <f t="shared" ca="1" si="0"/>
        <v/>
      </c>
      <c r="Q10" s="22" t="str">
        <f t="shared" ca="1" si="1"/>
        <v/>
      </c>
      <c r="R10" s="23">
        <f t="shared" ca="1" si="2"/>
        <v>6.2</v>
      </c>
      <c r="S10" s="24" t="str">
        <f t="shared" ca="1" si="3"/>
        <v/>
      </c>
      <c r="T10" s="24" t="str">
        <f t="shared" ca="1" si="4"/>
        <v/>
      </c>
      <c r="U10" s="21"/>
      <c r="V10" s="11"/>
    </row>
    <row r="11" spans="1:23" ht="15.6" x14ac:dyDescent="0.3">
      <c r="A11" s="19"/>
      <c r="B11" s="11"/>
      <c r="C11" s="11"/>
      <c r="D11" s="28"/>
      <c r="E11" s="31">
        <f ca="1">IF(C23=0,"",I78)</f>
        <v>2.2999999999999998</v>
      </c>
      <c r="F11" s="13">
        <f t="shared" ca="1" si="5"/>
        <v>2</v>
      </c>
      <c r="G11" s="13">
        <f ca="1">IF(C23=0,"",I98)</f>
        <v>4.2</v>
      </c>
      <c r="H11" s="13">
        <f t="shared" ca="1" si="6"/>
        <v>4</v>
      </c>
      <c r="I11" s="13">
        <f ca="1">IF(C23=0,"",I118)</f>
        <v>6.1</v>
      </c>
      <c r="J11" s="13">
        <f t="shared" ca="1" si="7"/>
        <v>6</v>
      </c>
      <c r="K11" s="13">
        <f ca="1">IF(C23=0,"",I138)</f>
        <v>8.1</v>
      </c>
      <c r="L11" s="13">
        <f t="shared" ca="1" si="8"/>
        <v>8</v>
      </c>
      <c r="M11" s="13">
        <f ca="1">IF(C23=0,"",I158)</f>
        <v>11.8</v>
      </c>
      <c r="N11" s="32">
        <f t="shared" ca="1" si="9"/>
        <v>12</v>
      </c>
      <c r="O11" s="21"/>
      <c r="P11" s="22" t="str">
        <f t="shared" ca="1" si="0"/>
        <v/>
      </c>
      <c r="Q11" s="22" t="str">
        <f t="shared" ca="1" si="1"/>
        <v/>
      </c>
      <c r="R11" s="33" t="str">
        <f t="shared" ca="1" si="2"/>
        <v/>
      </c>
      <c r="S11" s="24" t="str">
        <f t="shared" ca="1" si="3"/>
        <v/>
      </c>
      <c r="T11" s="24" t="str">
        <f t="shared" ca="1" si="4"/>
        <v/>
      </c>
      <c r="U11" s="21"/>
      <c r="V11" s="11"/>
    </row>
    <row r="12" spans="1:23" ht="15.6" customHeight="1" x14ac:dyDescent="0.5">
      <c r="A12" s="19"/>
      <c r="B12" s="11"/>
      <c r="C12" s="11"/>
      <c r="D12" s="28"/>
      <c r="E12" s="31">
        <f ca="1">IF(C23=0,"",I79)</f>
        <v>2.2999999999999998</v>
      </c>
      <c r="F12" s="13">
        <f t="shared" ca="1" si="5"/>
        <v>2</v>
      </c>
      <c r="G12" s="13">
        <f ca="1">IF(C23=0,"",I99)</f>
        <v>4.2</v>
      </c>
      <c r="H12" s="13">
        <f t="shared" ca="1" si="6"/>
        <v>4</v>
      </c>
      <c r="I12" s="13">
        <f ca="1">IF(C23=0,"",I119)</f>
        <v>6.2</v>
      </c>
      <c r="J12" s="13">
        <f t="shared" ca="1" si="7"/>
        <v>6</v>
      </c>
      <c r="K12" s="13">
        <f ca="1">IF(C23=0,"",I139)</f>
        <v>8.1999999999999993</v>
      </c>
      <c r="L12" s="13">
        <f t="shared" ca="1" si="8"/>
        <v>8</v>
      </c>
      <c r="M12" s="13">
        <f ca="1">IF(C23=0,"",I159)</f>
        <v>12</v>
      </c>
      <c r="N12" s="32">
        <f t="shared" ca="1" si="9"/>
        <v>12</v>
      </c>
      <c r="O12" s="3" t="s">
        <v>141</v>
      </c>
      <c r="P12" s="22" t="str">
        <f t="shared" ca="1" si="0"/>
        <v/>
      </c>
      <c r="Q12" s="22" t="str">
        <f t="shared" ca="1" si="1"/>
        <v/>
      </c>
      <c r="R12" s="2" t="s">
        <v>141</v>
      </c>
      <c r="S12" s="24" t="str">
        <f t="shared" ca="1" si="3"/>
        <v/>
      </c>
      <c r="T12" s="24" t="str">
        <f t="shared" ca="1" si="4"/>
        <v/>
      </c>
      <c r="U12" s="4" t="s">
        <v>141</v>
      </c>
      <c r="V12" s="11"/>
    </row>
    <row r="13" spans="1:23" ht="15.6" x14ac:dyDescent="0.3">
      <c r="A13" s="19"/>
      <c r="B13" s="11"/>
      <c r="C13" s="11"/>
      <c r="D13" s="28"/>
      <c r="E13" s="31">
        <f ca="1">IF(C23=0,"",I80)</f>
        <v>2.5</v>
      </c>
      <c r="F13" s="13">
        <f t="shared" ca="1" si="5"/>
        <v>3</v>
      </c>
      <c r="G13" s="13">
        <f ca="1">IF(C23=0,"",I100)</f>
        <v>4.2</v>
      </c>
      <c r="H13" s="13">
        <f t="shared" ca="1" si="6"/>
        <v>4</v>
      </c>
      <c r="I13" s="13">
        <f ca="1">IF(C23=0,"",I120)</f>
        <v>6.2</v>
      </c>
      <c r="J13" s="13">
        <f t="shared" ca="1" si="7"/>
        <v>6</v>
      </c>
      <c r="K13" s="13">
        <f ca="1">IF(C23=0,"",I140)</f>
        <v>8.6</v>
      </c>
      <c r="L13" s="13">
        <f t="shared" ca="1" si="8"/>
        <v>9</v>
      </c>
      <c r="M13" s="13">
        <f ca="1">IF(C23=0,"",I160)</f>
        <v>12.4</v>
      </c>
      <c r="N13" s="32">
        <f t="shared" ca="1" si="9"/>
        <v>12</v>
      </c>
      <c r="O13" s="21"/>
      <c r="P13" s="22" t="str">
        <f t="shared" ca="1" si="0"/>
        <v/>
      </c>
      <c r="Q13" s="22" t="str">
        <f t="shared" ca="1" si="1"/>
        <v/>
      </c>
      <c r="R13" s="23" t="str">
        <f t="shared" ref="R13:R22" ca="1" si="10">IF($H$176=I124,I124,"")</f>
        <v/>
      </c>
      <c r="S13" s="24" t="str">
        <f t="shared" ca="1" si="3"/>
        <v/>
      </c>
      <c r="T13" s="24" t="str">
        <f t="shared" ca="1" si="4"/>
        <v/>
      </c>
      <c r="U13" s="21"/>
      <c r="V13" s="11"/>
    </row>
    <row r="14" spans="1:23" ht="15.6" x14ac:dyDescent="0.3">
      <c r="A14" s="19"/>
      <c r="B14" s="11"/>
      <c r="C14" s="11"/>
      <c r="D14" s="28"/>
      <c r="E14" s="31">
        <f ca="1">IF(C23=0,"",I81)</f>
        <v>2.5</v>
      </c>
      <c r="F14" s="13">
        <f t="shared" ca="1" si="5"/>
        <v>3</v>
      </c>
      <c r="G14" s="13">
        <f ca="1">IF(C23=0,"",I101)</f>
        <v>4.2</v>
      </c>
      <c r="H14" s="13">
        <f t="shared" ca="1" si="6"/>
        <v>4</v>
      </c>
      <c r="I14" s="13">
        <f ca="1">IF(C23=0,"",I121)</f>
        <v>6.2</v>
      </c>
      <c r="J14" s="13">
        <f t="shared" ca="1" si="7"/>
        <v>6</v>
      </c>
      <c r="K14" s="13">
        <f ca="1">IF(C23=0,"",I141)</f>
        <v>8.6</v>
      </c>
      <c r="L14" s="13">
        <f t="shared" ca="1" si="8"/>
        <v>9</v>
      </c>
      <c r="M14" s="13">
        <f ca="1">IF(C23=0,"",I161)</f>
        <v>13.3</v>
      </c>
      <c r="N14" s="32">
        <f t="shared" ca="1" si="9"/>
        <v>13</v>
      </c>
      <c r="O14" s="21"/>
      <c r="P14" s="22" t="str">
        <f t="shared" ca="1" si="0"/>
        <v/>
      </c>
      <c r="Q14" s="22" t="str">
        <f t="shared" ca="1" si="1"/>
        <v/>
      </c>
      <c r="R14" s="23" t="str">
        <f t="shared" ca="1" si="10"/>
        <v/>
      </c>
      <c r="S14" s="24" t="str">
        <f t="shared" ca="1" si="3"/>
        <v/>
      </c>
      <c r="T14" s="24" t="str">
        <f t="shared" ca="1" si="4"/>
        <v/>
      </c>
      <c r="U14" s="21"/>
      <c r="V14" s="11"/>
    </row>
    <row r="15" spans="1:23" ht="15.6" x14ac:dyDescent="0.3">
      <c r="A15" s="19"/>
      <c r="B15" s="11"/>
      <c r="C15" s="11"/>
      <c r="D15" s="28"/>
      <c r="E15" s="31">
        <f ca="1">IF(C23=0,"",I82)</f>
        <v>2.6</v>
      </c>
      <c r="F15" s="13">
        <f t="shared" ca="1" si="5"/>
        <v>3</v>
      </c>
      <c r="G15" s="13">
        <f ca="1">IF(C23=0,"",I102)</f>
        <v>4.3</v>
      </c>
      <c r="H15" s="13">
        <f t="shared" ca="1" si="6"/>
        <v>4</v>
      </c>
      <c r="I15" s="13">
        <f ca="1">IF(C23=0,"",I122)</f>
        <v>6.3</v>
      </c>
      <c r="J15" s="13">
        <f t="shared" ca="1" si="7"/>
        <v>6</v>
      </c>
      <c r="K15" s="13">
        <f ca="1">IF(C23=0,"",I142)</f>
        <v>8.6</v>
      </c>
      <c r="L15" s="13">
        <f t="shared" ca="1" si="8"/>
        <v>9</v>
      </c>
      <c r="M15" s="13">
        <f ca="1">IF(C23=0,"",I162)</f>
        <v>13.3</v>
      </c>
      <c r="N15" s="32">
        <f t="shared" ca="1" si="9"/>
        <v>13</v>
      </c>
      <c r="O15" s="21"/>
      <c r="P15" s="22" t="str">
        <f t="shared" ca="1" si="0"/>
        <v/>
      </c>
      <c r="Q15" s="22" t="str">
        <f t="shared" ca="1" si="1"/>
        <v/>
      </c>
      <c r="R15" s="23" t="str">
        <f t="shared" ca="1" si="10"/>
        <v/>
      </c>
      <c r="S15" s="24" t="str">
        <f t="shared" ca="1" si="3"/>
        <v/>
      </c>
      <c r="T15" s="24" t="str">
        <f t="shared" ca="1" si="4"/>
        <v/>
      </c>
      <c r="U15" s="21"/>
      <c r="V15" s="11"/>
    </row>
    <row r="16" spans="1:23" ht="15.6" x14ac:dyDescent="0.3">
      <c r="A16" s="19"/>
      <c r="B16" s="11"/>
      <c r="C16" s="11"/>
      <c r="D16" s="28"/>
      <c r="E16" s="31">
        <f ca="1">IF(C23=0,"",I83)</f>
        <v>2.7</v>
      </c>
      <c r="F16" s="13">
        <f t="shared" ca="1" si="5"/>
        <v>3</v>
      </c>
      <c r="G16" s="13">
        <f ca="1">IF(C23=0,"",I103)</f>
        <v>4.3</v>
      </c>
      <c r="H16" s="13">
        <f t="shared" ca="1" si="6"/>
        <v>4</v>
      </c>
      <c r="I16" s="13">
        <f ca="1">IF(C23=0,"",I123)</f>
        <v>6.5</v>
      </c>
      <c r="J16" s="13">
        <f t="shared" ca="1" si="7"/>
        <v>7</v>
      </c>
      <c r="K16" s="13">
        <f ca="1">IF(C23=0,"",I143)</f>
        <v>8.6</v>
      </c>
      <c r="L16" s="13">
        <f t="shared" ca="1" si="8"/>
        <v>9</v>
      </c>
      <c r="M16" s="13">
        <f ca="1">IF(C23=0,"",I163)</f>
        <v>13.5</v>
      </c>
      <c r="N16" s="32">
        <f t="shared" ca="1" si="9"/>
        <v>14</v>
      </c>
      <c r="O16" s="21"/>
      <c r="P16" s="22" t="str">
        <f t="shared" ca="1" si="0"/>
        <v/>
      </c>
      <c r="Q16" s="22" t="str">
        <f t="shared" ca="1" si="1"/>
        <v/>
      </c>
      <c r="R16" s="23" t="str">
        <f t="shared" ca="1" si="10"/>
        <v/>
      </c>
      <c r="S16" s="24" t="str">
        <f t="shared" ca="1" si="3"/>
        <v/>
      </c>
      <c r="T16" s="24" t="str">
        <f t="shared" ca="1" si="4"/>
        <v/>
      </c>
      <c r="U16" s="21"/>
      <c r="V16" s="11"/>
    </row>
    <row r="17" spans="1:22" ht="15.6" x14ac:dyDescent="0.3">
      <c r="A17" s="19"/>
      <c r="B17" s="11"/>
      <c r="C17" s="11"/>
      <c r="D17" s="28"/>
      <c r="E17" s="31">
        <f ca="1">IF(C23=0,"",I84)</f>
        <v>2.8</v>
      </c>
      <c r="F17" s="13">
        <f t="shared" ca="1" si="5"/>
        <v>3</v>
      </c>
      <c r="G17" s="13">
        <f ca="1">IF(C23=0,"",I104)</f>
        <v>4.4000000000000004</v>
      </c>
      <c r="H17" s="13">
        <f t="shared" ca="1" si="6"/>
        <v>4</v>
      </c>
      <c r="I17" s="13">
        <f ca="1">IF(C23=0,"",I124)</f>
        <v>6.5</v>
      </c>
      <c r="J17" s="13">
        <f t="shared" ca="1" si="7"/>
        <v>7</v>
      </c>
      <c r="K17" s="13">
        <f ca="1">IF(C23=0,"",I144)</f>
        <v>9</v>
      </c>
      <c r="L17" s="13">
        <f t="shared" ca="1" si="8"/>
        <v>9</v>
      </c>
      <c r="M17" s="13">
        <f ca="1">IF(C23=0,"",I164)</f>
        <v>13.6</v>
      </c>
      <c r="N17" s="32">
        <f t="shared" ca="1" si="9"/>
        <v>14</v>
      </c>
      <c r="O17" s="21"/>
      <c r="P17" s="22" t="str">
        <f t="shared" ca="1" si="0"/>
        <v/>
      </c>
      <c r="Q17" s="22" t="str">
        <f t="shared" ca="1" si="1"/>
        <v/>
      </c>
      <c r="R17" s="23" t="str">
        <f t="shared" ca="1" si="10"/>
        <v/>
      </c>
      <c r="S17" s="24" t="str">
        <f t="shared" ca="1" si="3"/>
        <v/>
      </c>
      <c r="T17" s="24" t="str">
        <f t="shared" ca="1" si="4"/>
        <v/>
      </c>
      <c r="U17" s="21"/>
      <c r="V17" s="11"/>
    </row>
    <row r="18" spans="1:22" ht="15.6" x14ac:dyDescent="0.3">
      <c r="A18" s="19"/>
      <c r="B18" s="11"/>
      <c r="C18" s="11"/>
      <c r="D18" s="28"/>
      <c r="E18" s="31">
        <f ca="1">IF(C23=0,"",I85)</f>
        <v>2.9</v>
      </c>
      <c r="F18" s="13">
        <f t="shared" ca="1" si="5"/>
        <v>3</v>
      </c>
      <c r="G18" s="13">
        <f ca="1">IF(C23=0,"",I105)</f>
        <v>4.7</v>
      </c>
      <c r="H18" s="13">
        <f t="shared" ca="1" si="6"/>
        <v>5</v>
      </c>
      <c r="I18" s="13">
        <f ca="1">IF(C23=0,"",I125)</f>
        <v>6.6</v>
      </c>
      <c r="J18" s="13">
        <f t="shared" ca="1" si="7"/>
        <v>7</v>
      </c>
      <c r="K18" s="13">
        <f ca="1">IF(C23=0,"",I145)</f>
        <v>9.3000000000000007</v>
      </c>
      <c r="L18" s="13">
        <f t="shared" ca="1" si="8"/>
        <v>9</v>
      </c>
      <c r="M18" s="13">
        <f ca="1">IF(C23=0,"",I165)</f>
        <v>16.600000000000001</v>
      </c>
      <c r="N18" s="32">
        <f t="shared" ca="1" si="9"/>
        <v>17</v>
      </c>
      <c r="O18" s="21"/>
      <c r="P18" s="22" t="str">
        <f t="shared" ca="1" si="0"/>
        <v/>
      </c>
      <c r="Q18" s="22" t="str">
        <f t="shared" ca="1" si="1"/>
        <v/>
      </c>
      <c r="R18" s="23" t="str">
        <f t="shared" ca="1" si="10"/>
        <v/>
      </c>
      <c r="S18" s="24" t="str">
        <f t="shared" ca="1" si="3"/>
        <v/>
      </c>
      <c r="T18" s="24" t="str">
        <f t="shared" ca="1" si="4"/>
        <v/>
      </c>
      <c r="U18" s="21"/>
      <c r="V18" s="11"/>
    </row>
    <row r="19" spans="1:22" ht="15.6" x14ac:dyDescent="0.3">
      <c r="A19" s="19"/>
      <c r="B19" s="11"/>
      <c r="C19" s="11"/>
      <c r="D19" s="28"/>
      <c r="E19" s="31">
        <f ca="1">IF(C23=0,"",I86)</f>
        <v>3</v>
      </c>
      <c r="F19" s="13">
        <f t="shared" ca="1" si="5"/>
        <v>3</v>
      </c>
      <c r="G19" s="13">
        <f ca="1">IF(C23=0,"",I106)</f>
        <v>4.8</v>
      </c>
      <c r="H19" s="13">
        <f t="shared" ca="1" si="6"/>
        <v>5</v>
      </c>
      <c r="I19" s="13">
        <f ca="1">IF(C23=0,"",I126)</f>
        <v>6.6</v>
      </c>
      <c r="J19" s="13">
        <f t="shared" ca="1" si="7"/>
        <v>7</v>
      </c>
      <c r="K19" s="13">
        <f ca="1">IF(C23=0,"",I146)</f>
        <v>9.4</v>
      </c>
      <c r="L19" s="13">
        <f t="shared" ca="1" si="8"/>
        <v>9</v>
      </c>
      <c r="M19" s="13">
        <f ca="1">IF(C23=0,"",I166)</f>
        <v>17</v>
      </c>
      <c r="N19" s="32">
        <f t="shared" ca="1" si="9"/>
        <v>17</v>
      </c>
      <c r="O19" s="21"/>
      <c r="P19" s="22" t="str">
        <f t="shared" ca="1" si="0"/>
        <v/>
      </c>
      <c r="Q19" s="22" t="str">
        <f t="shared" ca="1" si="1"/>
        <v/>
      </c>
      <c r="R19" s="23" t="str">
        <f t="shared" ca="1" si="10"/>
        <v/>
      </c>
      <c r="S19" s="24" t="str">
        <f t="shared" ca="1" si="3"/>
        <v/>
      </c>
      <c r="T19" s="24" t="str">
        <f t="shared" ca="1" si="4"/>
        <v/>
      </c>
      <c r="U19" s="21"/>
      <c r="V19" s="11"/>
    </row>
    <row r="20" spans="1:22" ht="15.6" x14ac:dyDescent="0.3">
      <c r="A20" s="19"/>
      <c r="B20" s="11"/>
      <c r="C20" s="11"/>
      <c r="D20" s="28"/>
      <c r="E20" s="31">
        <f ca="1">IF(C23=0,"",I87)</f>
        <v>3</v>
      </c>
      <c r="F20" s="13">
        <f t="shared" ca="1" si="5"/>
        <v>3</v>
      </c>
      <c r="G20" s="13">
        <f ca="1">IF(C23=0,"",I107)</f>
        <v>4.9000000000000004</v>
      </c>
      <c r="H20" s="13">
        <f t="shared" ca="1" si="6"/>
        <v>5</v>
      </c>
      <c r="I20" s="13">
        <f ca="1">IF(C23=0,"",I127)</f>
        <v>6.6</v>
      </c>
      <c r="J20" s="13">
        <f t="shared" ca="1" si="7"/>
        <v>7</v>
      </c>
      <c r="K20" s="13">
        <f ca="1">IF(C23=0,"",I147)</f>
        <v>9.5</v>
      </c>
      <c r="L20" s="13">
        <f t="shared" ca="1" si="8"/>
        <v>10</v>
      </c>
      <c r="M20" s="13">
        <f ca="1">IF(C23=0,"",I167)</f>
        <v>18.899999999999999</v>
      </c>
      <c r="N20" s="32">
        <f t="shared" ca="1" si="9"/>
        <v>19</v>
      </c>
      <c r="O20" s="21"/>
      <c r="P20" s="22" t="str">
        <f t="shared" ca="1" si="0"/>
        <v/>
      </c>
      <c r="Q20" s="22" t="str">
        <f t="shared" ca="1" si="1"/>
        <v/>
      </c>
      <c r="R20" s="23" t="str">
        <f t="shared" ca="1" si="10"/>
        <v/>
      </c>
      <c r="S20" s="24" t="str">
        <f t="shared" ca="1" si="3"/>
        <v/>
      </c>
      <c r="T20" s="24" t="str">
        <f t="shared" ca="1" si="4"/>
        <v/>
      </c>
      <c r="U20" s="21"/>
      <c r="V20" s="11"/>
    </row>
    <row r="21" spans="1:22" ht="16.2" thickBot="1" x14ac:dyDescent="0.35">
      <c r="A21" s="25"/>
      <c r="D21" s="20"/>
      <c r="E21" s="31">
        <f ca="1">IF(C23=0,"",I88)</f>
        <v>3.4</v>
      </c>
      <c r="F21" s="13">
        <f t="shared" ca="1" si="5"/>
        <v>3</v>
      </c>
      <c r="G21" s="13">
        <f ca="1">IF(C23=0,"",I108)</f>
        <v>5</v>
      </c>
      <c r="H21" s="13">
        <f t="shared" ca="1" si="6"/>
        <v>5</v>
      </c>
      <c r="I21" s="13">
        <f ca="1">IF(C23=0,"",I128)</f>
        <v>6.7</v>
      </c>
      <c r="J21" s="13">
        <f t="shared" ca="1" si="7"/>
        <v>7</v>
      </c>
      <c r="K21" s="13">
        <f ca="1">IF(C23=0,"",I148)</f>
        <v>9.6</v>
      </c>
      <c r="L21" s="13">
        <f t="shared" ca="1" si="8"/>
        <v>10</v>
      </c>
      <c r="M21" s="13">
        <f ca="1">IF(C23=0,"",I168)</f>
        <v>19.2</v>
      </c>
      <c r="N21" s="32">
        <f t="shared" ca="1" si="9"/>
        <v>19</v>
      </c>
      <c r="O21" s="21"/>
      <c r="P21" s="22" t="str">
        <f t="shared" ca="1" si="0"/>
        <v/>
      </c>
      <c r="Q21" s="22" t="str">
        <f t="shared" ca="1" si="1"/>
        <v/>
      </c>
      <c r="R21" s="23" t="str">
        <f t="shared" ca="1" si="10"/>
        <v/>
      </c>
      <c r="S21" s="24" t="str">
        <f t="shared" ca="1" si="3"/>
        <v/>
      </c>
      <c r="T21" s="24" t="str">
        <f t="shared" ca="1" si="4"/>
        <v/>
      </c>
      <c r="U21" s="21"/>
      <c r="V21" s="11"/>
    </row>
    <row r="22" spans="1:22" ht="16.2" thickBot="1" x14ac:dyDescent="0.35">
      <c r="A22" s="35" t="s">
        <v>142</v>
      </c>
      <c r="B22" s="36">
        <f>'NUR MIT PASSWORT'!$J$20</f>
        <v>1</v>
      </c>
      <c r="C22" s="36">
        <f>IF(C23=0,"",C23)</f>
        <v>7.07</v>
      </c>
      <c r="D22" s="36">
        <f>'NUR MIT PASSWORT'!$J$21</f>
        <v>50</v>
      </c>
      <c r="E22" s="31">
        <f ca="1">IF(C23=0,"",I89)</f>
        <v>3.4</v>
      </c>
      <c r="F22" s="13">
        <f t="shared" ca="1" si="5"/>
        <v>3</v>
      </c>
      <c r="G22" s="13">
        <f ca="1">IF(C23=0,"",I109)</f>
        <v>5</v>
      </c>
      <c r="H22" s="13">
        <f t="shared" ca="1" si="6"/>
        <v>5</v>
      </c>
      <c r="I22" s="13">
        <f ca="1">IF(C23=0,"",I129)</f>
        <v>6.7</v>
      </c>
      <c r="J22" s="13">
        <f t="shared" ca="1" si="7"/>
        <v>7</v>
      </c>
      <c r="K22" s="13">
        <f ca="1">IF(C23=0,"",I149)</f>
        <v>10.1</v>
      </c>
      <c r="L22" s="13">
        <f t="shared" ca="1" si="8"/>
        <v>10</v>
      </c>
      <c r="M22" s="13">
        <f ca="1">IF(C23=0,"",I169)</f>
        <v>21.4</v>
      </c>
      <c r="N22" s="32">
        <f t="shared" ca="1" si="9"/>
        <v>21</v>
      </c>
      <c r="O22" s="21"/>
      <c r="P22" s="22" t="str">
        <f t="shared" ca="1" si="0"/>
        <v/>
      </c>
      <c r="Q22" s="22" t="str">
        <f t="shared" ca="1" si="1"/>
        <v/>
      </c>
      <c r="R22" s="23" t="str">
        <f t="shared" ca="1" si="10"/>
        <v/>
      </c>
      <c r="S22" s="24" t="str">
        <f t="shared" ca="1" si="3"/>
        <v/>
      </c>
      <c r="T22" s="24" t="str">
        <f t="shared" ca="1" si="4"/>
        <v/>
      </c>
      <c r="U22" s="21"/>
      <c r="V22" s="11"/>
    </row>
    <row r="23" spans="1:22" ht="15" thickBot="1" x14ac:dyDescent="0.35">
      <c r="A23" s="35" t="str">
        <f>'FALL 3'!$A$23</f>
        <v>Vorgaben Entnahmebereich (xmin' - xmax')</v>
      </c>
      <c r="B23" s="36">
        <f>IF(C23=0,"",'NUR MIT PASSWORT'!$J$22)</f>
        <v>1</v>
      </c>
      <c r="C23" s="55">
        <f>ROUND(IF(B22&lt;1,0,EXP(B46)),2)</f>
        <v>7.07</v>
      </c>
      <c r="D23" s="36">
        <f>IF(C23=0,"",'NUR MIT PASSWORT'!$J$23)</f>
        <v>50</v>
      </c>
      <c r="E23" s="31">
        <f ca="1">IF(C23=0,"",I90)</f>
        <v>3.5</v>
      </c>
      <c r="F23" s="13">
        <f t="shared" ca="1" si="5"/>
        <v>4</v>
      </c>
      <c r="G23" s="13">
        <f ca="1">IF(C23=0,"",I110)</f>
        <v>5</v>
      </c>
      <c r="H23" s="13">
        <f t="shared" ca="1" si="6"/>
        <v>5</v>
      </c>
      <c r="I23" s="13">
        <f ca="1">IF(C23=0,"",I130)</f>
        <v>6.8</v>
      </c>
      <c r="J23" s="13">
        <f t="shared" ca="1" si="7"/>
        <v>7</v>
      </c>
      <c r="K23" s="13">
        <f ca="1">IF(C23=0,"",I150)</f>
        <v>10.1</v>
      </c>
      <c r="L23" s="13">
        <f t="shared" ca="1" si="8"/>
        <v>10</v>
      </c>
      <c r="M23" s="13">
        <f ca="1">IF(C23=0,"",I170)</f>
        <v>23.5</v>
      </c>
      <c r="N23" s="32">
        <f t="shared" ca="1" si="9"/>
        <v>24</v>
      </c>
      <c r="O23" s="11"/>
      <c r="P23" s="11"/>
      <c r="Q23" s="11"/>
      <c r="R23" s="11"/>
      <c r="S23" s="11"/>
      <c r="T23" s="11"/>
      <c r="U23" s="11"/>
      <c r="V23" s="11"/>
    </row>
    <row r="24" spans="1:22" ht="15" thickBot="1" x14ac:dyDescent="0.35">
      <c r="A24" s="38" t="str">
        <f>'FALL 3'!$A$24</f>
        <v>Abfrage INNERHALB des Entnahmebereichs</v>
      </c>
      <c r="B24" s="13"/>
      <c r="C24" s="13"/>
      <c r="D24" s="32"/>
      <c r="E24" s="31">
        <f ca="1">IF(C23=0,"",I91)</f>
        <v>3.8</v>
      </c>
      <c r="F24" s="13">
        <f t="shared" ca="1" si="5"/>
        <v>4</v>
      </c>
      <c r="G24" s="13">
        <f ca="1">IF(C23=0,"",I111)</f>
        <v>5.0999999999999996</v>
      </c>
      <c r="H24" s="13">
        <f t="shared" ca="1" si="6"/>
        <v>5</v>
      </c>
      <c r="I24" s="13">
        <f ca="1">IF(C23=0,"",I131)</f>
        <v>7</v>
      </c>
      <c r="J24" s="13">
        <f t="shared" ca="1" si="7"/>
        <v>7</v>
      </c>
      <c r="K24" s="13">
        <f ca="1">IF(C23=0,"",I151)</f>
        <v>10.199999999999999</v>
      </c>
      <c r="L24" s="13">
        <f t="shared" ca="1" si="8"/>
        <v>10</v>
      </c>
      <c r="M24" s="13">
        <f ca="1">IF(C23=0,"",I171)</f>
        <v>26.9</v>
      </c>
      <c r="N24" s="32">
        <f t="shared" ca="1" si="9"/>
        <v>27</v>
      </c>
      <c r="O24" s="11"/>
      <c r="P24" s="11"/>
      <c r="Q24" s="11"/>
      <c r="R24" s="11"/>
      <c r="S24" s="11"/>
      <c r="T24" s="11"/>
      <c r="U24" s="11"/>
      <c r="V24" s="11"/>
    </row>
    <row r="25" spans="1:22" ht="15" thickBot="1" x14ac:dyDescent="0.35">
      <c r="A25" s="35" t="s">
        <v>73</v>
      </c>
      <c r="B25" s="39">
        <v>70</v>
      </c>
      <c r="C25" s="37" t="s">
        <v>22</v>
      </c>
      <c r="D25" s="36">
        <f>IF(C23=0,"",ROUND((B34-B35)/(B36-B35)*98+1,2))</f>
        <v>99.54</v>
      </c>
      <c r="E25" s="31">
        <f ca="1">IF(C23=0,"",I92)</f>
        <v>3.8</v>
      </c>
      <c r="F25" s="13">
        <f t="shared" ca="1" si="5"/>
        <v>4</v>
      </c>
      <c r="G25" s="13">
        <f ca="1">IF(C23=0,"",I112)</f>
        <v>5.3</v>
      </c>
      <c r="H25" s="13">
        <f t="shared" ca="1" si="6"/>
        <v>5</v>
      </c>
      <c r="I25" s="13">
        <f ca="1">IF(C23=0,"",I132)</f>
        <v>7.1</v>
      </c>
      <c r="J25" s="13">
        <f t="shared" ca="1" si="7"/>
        <v>7</v>
      </c>
      <c r="K25" s="13">
        <f ca="1">IF(C23=0,"",I152)</f>
        <v>10.8</v>
      </c>
      <c r="L25" s="13">
        <f t="shared" ca="1" si="8"/>
        <v>11</v>
      </c>
      <c r="M25" s="13">
        <f ca="1">IF(C23=0,"",I172)</f>
        <v>31.6</v>
      </c>
      <c r="N25" s="32">
        <f t="shared" ca="1" si="9"/>
        <v>32</v>
      </c>
      <c r="O25" s="11"/>
      <c r="P25" s="11"/>
      <c r="Q25" s="11"/>
      <c r="R25" s="11"/>
      <c r="S25" s="11"/>
      <c r="T25" s="11"/>
      <c r="U25" s="11"/>
      <c r="V25" s="11"/>
    </row>
    <row r="26" spans="1:22" ht="15" thickBot="1" x14ac:dyDescent="0.35">
      <c r="A26" s="56" t="s">
        <v>31</v>
      </c>
      <c r="B26" s="57">
        <v>99</v>
      </c>
      <c r="C26" s="58" t="s">
        <v>21</v>
      </c>
      <c r="D26" s="59">
        <f>IF(C23=0,"",ROUND((EXP(((LN(B41/(1-B41)))-B50)/B51)),2))</f>
        <v>50</v>
      </c>
      <c r="E26" s="31">
        <f ca="1">IF(C23=0,"",I93)</f>
        <v>3.9</v>
      </c>
      <c r="F26" s="13">
        <f t="shared" ca="1" si="5"/>
        <v>4</v>
      </c>
      <c r="G26" s="13">
        <f ca="1">IF(C23=0,"",I113)</f>
        <v>5.3</v>
      </c>
      <c r="H26" s="13">
        <f t="shared" ca="1" si="6"/>
        <v>5</v>
      </c>
      <c r="I26" s="13">
        <f ca="1">IF(C23=0,"",I133)</f>
        <v>7.1</v>
      </c>
      <c r="J26" s="13">
        <f t="shared" ca="1" si="7"/>
        <v>7</v>
      </c>
      <c r="K26" s="13">
        <f ca="1">IF(C23=0,"",I153)</f>
        <v>11.2</v>
      </c>
      <c r="L26" s="13">
        <f t="shared" ca="1" si="8"/>
        <v>11</v>
      </c>
      <c r="M26" s="13">
        <f ca="1">IF(C23=0,"",I173)</f>
        <v>35.799999999999997</v>
      </c>
      <c r="N26" s="32">
        <f t="shared" ca="1" si="9"/>
        <v>36</v>
      </c>
      <c r="O26" s="11"/>
      <c r="P26" s="11"/>
      <c r="Q26" s="11"/>
      <c r="R26" s="11"/>
      <c r="S26" s="11"/>
      <c r="T26" s="11"/>
      <c r="U26" s="11"/>
      <c r="V26" s="11"/>
    </row>
    <row r="27" spans="1:22" x14ac:dyDescent="0.3">
      <c r="A27" s="7"/>
      <c r="B27" s="7"/>
      <c r="C27" s="7"/>
      <c r="D27" s="7"/>
      <c r="E27" s="60"/>
      <c r="F27" s="60"/>
      <c r="G27" s="60"/>
      <c r="H27" s="60"/>
      <c r="I27" s="60"/>
      <c r="J27" s="60"/>
      <c r="K27" s="60"/>
      <c r="L27" s="60"/>
      <c r="M27" s="60"/>
      <c r="N27" s="60"/>
      <c r="O27" s="11"/>
      <c r="P27" s="11"/>
      <c r="Q27" s="11"/>
      <c r="R27" s="11"/>
      <c r="S27" s="11"/>
      <c r="T27" s="11"/>
      <c r="U27" s="11"/>
      <c r="V27" s="11"/>
    </row>
    <row r="28" spans="1:22" x14ac:dyDescent="0.3">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46" x14ac:dyDescent="0.3">
      <c r="A33" s="11" t="s">
        <v>99</v>
      </c>
      <c r="B33" s="11" t="s">
        <v>100</v>
      </c>
      <c r="C33" s="11"/>
      <c r="D33" s="11"/>
      <c r="E33" s="11"/>
      <c r="F33" s="11"/>
      <c r="G33" s="11"/>
      <c r="H33" s="11"/>
      <c r="I33" s="11"/>
      <c r="J33" s="11"/>
      <c r="K33" s="11"/>
      <c r="L33" s="11"/>
      <c r="M33" s="11"/>
      <c r="N33" s="11"/>
      <c r="O33" s="11"/>
      <c r="P33" s="11"/>
      <c r="Q33" s="11"/>
      <c r="R33" s="11"/>
      <c r="S33" s="11"/>
      <c r="T33" s="11"/>
      <c r="U33" s="11"/>
      <c r="V33" s="11"/>
    </row>
    <row r="34" spans="1:46" x14ac:dyDescent="0.3">
      <c r="A34" s="11" t="s">
        <v>101</v>
      </c>
      <c r="B34" s="11">
        <f>IF(B22&lt;1,0,EXP(B50+B51*LN(B25)))/((EXP(B50+B51*LN(B25)))+1)</f>
        <v>0.99543867567782673</v>
      </c>
      <c r="C34" s="11"/>
      <c r="D34" s="11"/>
      <c r="E34" s="11"/>
      <c r="F34" s="11"/>
      <c r="G34" s="11"/>
      <c r="H34" s="11"/>
      <c r="I34" s="11"/>
      <c r="J34" s="11"/>
      <c r="K34" s="13" t="str">
        <f>'FALL 3'!J74</f>
        <v>Übertrag x'max</v>
      </c>
      <c r="L34" s="13">
        <f>('FALL 3'!K74)</f>
        <v>50</v>
      </c>
      <c r="M34" s="11"/>
      <c r="N34" s="11"/>
      <c r="O34" s="11"/>
      <c r="P34" s="11"/>
      <c r="Q34" s="11"/>
      <c r="R34" s="11"/>
      <c r="S34" s="11"/>
      <c r="T34" s="11"/>
      <c r="U34" s="11"/>
      <c r="V34" s="11"/>
    </row>
    <row r="35" spans="1:46" x14ac:dyDescent="0.3">
      <c r="A35" s="11" t="s">
        <v>102</v>
      </c>
      <c r="B35" s="11">
        <f>IF(B22&lt;1,0,EXP(B50+B51*LN(B23)))/((EXP(B50+B51*LN(B23)))+1)</f>
        <v>9.9999985163325526E-3</v>
      </c>
      <c r="C35" s="11"/>
      <c r="D35" s="11"/>
      <c r="E35" s="11"/>
      <c r="F35" s="11"/>
      <c r="G35" s="11"/>
      <c r="H35" s="11"/>
      <c r="I35" s="11"/>
      <c r="J35" s="11"/>
      <c r="K35" s="13" t="str">
        <f>'FALL 3'!J75</f>
        <v>Übertrag x'min</v>
      </c>
      <c r="L35" s="13">
        <f>('FALL 3'!K75)</f>
        <v>1</v>
      </c>
      <c r="M35" s="11"/>
      <c r="N35" s="11"/>
      <c r="O35" s="11"/>
      <c r="P35" s="11"/>
      <c r="Q35" s="11"/>
      <c r="R35" s="11"/>
      <c r="S35" s="11"/>
      <c r="T35" s="11"/>
      <c r="U35" s="11"/>
      <c r="V35" s="11"/>
    </row>
    <row r="36" spans="1:46" x14ac:dyDescent="0.3">
      <c r="A36" s="11" t="s">
        <v>103</v>
      </c>
      <c r="B36" s="11">
        <f>IF(B22&lt;1,0,EXP(B50+B51*LN(D23)))/((EXP(B50+B51*LN(D23)))+1)</f>
        <v>0.9900000014836674</v>
      </c>
      <c r="C36" s="11"/>
      <c r="D36" s="11"/>
      <c r="E36" s="11"/>
      <c r="F36" s="9" t="s">
        <v>24</v>
      </c>
      <c r="G36" s="11">
        <f>IF(B22&lt;1,0,((LN(G39)+LN(G40))*4.59512)/(LN(G39)-LN(G40)))</f>
        <v>-4.5951199999999996</v>
      </c>
      <c r="H36" s="11"/>
      <c r="I36" s="11"/>
      <c r="J36" s="11"/>
      <c r="K36" s="13"/>
      <c r="L36" s="13"/>
      <c r="M36" s="11"/>
      <c r="N36" s="11"/>
      <c r="O36" s="11"/>
      <c r="P36" s="11"/>
      <c r="Q36" s="11"/>
      <c r="R36" s="11"/>
      <c r="S36" s="11"/>
      <c r="T36" s="11"/>
      <c r="U36" s="11"/>
      <c r="V36" s="11"/>
    </row>
    <row r="37" spans="1:46" x14ac:dyDescent="0.3">
      <c r="A37" s="11"/>
      <c r="B37" s="11"/>
      <c r="C37" s="11"/>
      <c r="D37" s="11"/>
      <c r="E37" s="11"/>
      <c r="F37" s="9" t="s">
        <v>25</v>
      </c>
      <c r="G37" s="11">
        <f>IF(C56&lt;=0,0,(4.59512-G36)/(LN(G40)))</f>
        <v>2.3492295385911683</v>
      </c>
      <c r="H37" s="11"/>
      <c r="I37" s="11"/>
      <c r="J37" s="11"/>
      <c r="K37" s="13" t="str">
        <f>'FALL 3'!J77</f>
        <v>y'(x'max) =</v>
      </c>
      <c r="L37" s="13">
        <f>(EXP(B50+B51*LN(L34))/((EXP(B50+B51*LN(L34))+1)))*100</f>
        <v>99.000000148366738</v>
      </c>
      <c r="M37" s="11"/>
      <c r="N37" s="11"/>
      <c r="O37" s="11"/>
      <c r="P37" s="11"/>
      <c r="Q37" s="11"/>
      <c r="R37" s="11"/>
      <c r="S37" s="11"/>
      <c r="T37" s="11"/>
      <c r="U37" s="11"/>
      <c r="V37" s="11"/>
    </row>
    <row r="38" spans="1:46" x14ac:dyDescent="0.3">
      <c r="A38" s="11" t="s">
        <v>104</v>
      </c>
      <c r="B38" s="11"/>
      <c r="C38" s="11"/>
      <c r="D38" s="11"/>
      <c r="E38" s="11"/>
      <c r="F38" s="11"/>
      <c r="G38" s="11"/>
      <c r="H38" s="11"/>
      <c r="I38" s="11"/>
      <c r="J38" s="11"/>
      <c r="K38" s="13" t="str">
        <f>'FALL 3'!J78</f>
        <v>y'(x'min) =</v>
      </c>
      <c r="L38" s="13">
        <f>(EXP(B50+B51*(LN(L35)))/((EXP(B50+B51*(LN(L35)))+1)))*100</f>
        <v>0.99999985163325522</v>
      </c>
      <c r="M38" s="11"/>
      <c r="N38" s="11"/>
      <c r="O38" s="11"/>
      <c r="P38" s="11"/>
      <c r="Q38" s="11"/>
      <c r="R38" s="11"/>
      <c r="S38" s="11"/>
      <c r="T38" s="11"/>
      <c r="U38" s="11"/>
      <c r="V38" s="11"/>
    </row>
    <row r="39" spans="1:46" x14ac:dyDescent="0.3">
      <c r="A39" s="11" t="s">
        <v>105</v>
      </c>
      <c r="B39" s="11" t="s">
        <v>116</v>
      </c>
      <c r="C39" s="11"/>
      <c r="D39" s="11"/>
      <c r="E39" s="11"/>
      <c r="F39" s="45" t="s">
        <v>26</v>
      </c>
      <c r="G39" s="11">
        <f>'NUR MIT PASSWORT'!$J$20</f>
        <v>1</v>
      </c>
      <c r="H39" s="11"/>
      <c r="I39" s="11"/>
      <c r="J39" s="11"/>
      <c r="K39" s="11"/>
      <c r="L39" s="11"/>
      <c r="M39" s="11"/>
      <c r="N39" s="11"/>
      <c r="O39" s="11"/>
      <c r="P39" s="11"/>
      <c r="Q39" s="11"/>
      <c r="R39" s="11"/>
      <c r="S39" s="11"/>
      <c r="T39" s="11"/>
      <c r="U39" s="11"/>
      <c r="V39" s="11"/>
      <c r="AR39" s="11"/>
      <c r="AS39" s="11"/>
      <c r="AT39" s="11"/>
    </row>
    <row r="40" spans="1:46" x14ac:dyDescent="0.3">
      <c r="A40" s="11" t="s">
        <v>107</v>
      </c>
      <c r="B40" s="45" t="s">
        <v>117</v>
      </c>
      <c r="C40" s="45"/>
      <c r="D40" s="45"/>
      <c r="E40" s="11"/>
      <c r="F40" s="45" t="s">
        <v>27</v>
      </c>
      <c r="G40" s="11">
        <f>'NUR MIT PASSWORT'!$J$21</f>
        <v>50</v>
      </c>
      <c r="H40" s="11"/>
      <c r="I40" s="11"/>
      <c r="J40" s="11"/>
      <c r="K40" s="11"/>
      <c r="L40" s="11"/>
      <c r="M40" s="11"/>
      <c r="N40" s="11"/>
      <c r="O40" s="11"/>
      <c r="P40" s="11"/>
      <c r="Q40" s="11"/>
      <c r="R40" s="11"/>
      <c r="S40" s="11"/>
      <c r="T40" s="11"/>
      <c r="U40" s="11"/>
      <c r="V40" s="11"/>
    </row>
    <row r="41" spans="1:46" x14ac:dyDescent="0.3">
      <c r="A41" s="11" t="s">
        <v>109</v>
      </c>
      <c r="B41" s="11">
        <f>IF(B22&lt;1,0,((B26-1)/98)*(B36-B35)+B35)</f>
        <v>0.9900000014836674</v>
      </c>
      <c r="C41" s="11"/>
      <c r="D41" s="11"/>
      <c r="E41" s="11"/>
      <c r="F41" s="11"/>
      <c r="G41" s="11"/>
      <c r="H41" s="11"/>
      <c r="I41" s="11"/>
      <c r="J41" s="11"/>
      <c r="K41" s="11"/>
      <c r="L41" s="11"/>
      <c r="M41" s="11"/>
      <c r="N41" s="11"/>
      <c r="O41" s="11"/>
      <c r="P41" s="11"/>
      <c r="Q41" s="11"/>
      <c r="R41" s="11"/>
      <c r="S41" s="11"/>
      <c r="T41" s="11"/>
      <c r="U41" s="11"/>
      <c r="V41" s="11"/>
    </row>
    <row r="42" spans="1:46" x14ac:dyDescent="0.3">
      <c r="A42" s="11" t="s">
        <v>110</v>
      </c>
      <c r="B42" s="11"/>
      <c r="C42" s="11"/>
      <c r="D42" s="11"/>
      <c r="E42" s="11"/>
      <c r="F42" s="11"/>
      <c r="G42" s="11"/>
      <c r="H42" s="11"/>
      <c r="I42" s="11"/>
      <c r="J42" s="11"/>
      <c r="K42" s="11"/>
      <c r="L42" s="11"/>
      <c r="M42" s="11"/>
      <c r="N42" s="11"/>
      <c r="O42" s="11"/>
      <c r="P42" s="11"/>
      <c r="Q42" s="11"/>
      <c r="R42" s="11"/>
      <c r="S42" s="11"/>
      <c r="T42" s="11"/>
      <c r="U42" s="11"/>
      <c r="V42" s="11"/>
    </row>
    <row r="43" spans="1:46" x14ac:dyDescent="0.3">
      <c r="A43" s="11" t="s">
        <v>111</v>
      </c>
      <c r="B43" s="11"/>
      <c r="C43" s="11"/>
      <c r="D43" s="11"/>
      <c r="E43" s="11"/>
      <c r="F43" s="11"/>
      <c r="G43" s="11"/>
      <c r="H43" s="11"/>
      <c r="I43" s="11"/>
      <c r="J43" s="11"/>
      <c r="K43" s="11"/>
      <c r="L43" s="11"/>
      <c r="M43" s="11"/>
      <c r="N43" s="11"/>
      <c r="O43" s="11"/>
      <c r="P43" s="11"/>
      <c r="Q43" s="11"/>
      <c r="R43" s="11"/>
      <c r="S43" s="11"/>
      <c r="T43" s="11"/>
      <c r="U43" s="11"/>
      <c r="V43" s="11"/>
    </row>
    <row r="44" spans="1:46" x14ac:dyDescent="0.3">
      <c r="A44" s="11"/>
      <c r="B44" s="11"/>
      <c r="C44" s="11" t="s">
        <v>18</v>
      </c>
      <c r="D44" s="11" t="s">
        <v>14</v>
      </c>
      <c r="E44" s="11" t="s">
        <v>15</v>
      </c>
      <c r="F44" s="11" t="s">
        <v>16</v>
      </c>
      <c r="G44" s="11" t="s">
        <v>19</v>
      </c>
      <c r="H44" s="11"/>
      <c r="I44" s="11"/>
      <c r="J44" s="11"/>
      <c r="K44" s="11"/>
      <c r="L44" s="11"/>
      <c r="M44" s="11"/>
      <c r="N44" s="11"/>
      <c r="O44" s="11"/>
      <c r="P44" s="11"/>
      <c r="Q44" s="11"/>
      <c r="R44" s="11"/>
      <c r="S44" s="11"/>
      <c r="T44" s="11"/>
      <c r="U44" s="11"/>
      <c r="V44" s="11"/>
    </row>
    <row r="45" spans="1:46" x14ac:dyDescent="0.3">
      <c r="A45" s="11" t="s">
        <v>9</v>
      </c>
      <c r="B45" s="11"/>
      <c r="C45" s="11">
        <f>IF(D45&lt;=0,"",(LN(D45)))</f>
        <v>0</v>
      </c>
      <c r="D45" s="11">
        <f>'FALL 3'!C45</f>
        <v>1</v>
      </c>
      <c r="E45" s="9">
        <f>IF(B22&lt;1,0,(EXP(B50+B51*C45))/((EXP(B50+B51*C45))+1)*100)</f>
        <v>0.99999985163325522</v>
      </c>
      <c r="F45" s="11">
        <f>(B51*(EXP(B50+B51*C45)))/(((EXP(B50+B51*C45))+1)^2)</f>
        <v>2.3257369016286677E-2</v>
      </c>
      <c r="G45" s="11">
        <f>IF(D45&lt;1,0,F45/B57)</f>
        <v>3.9599994184023601E-2</v>
      </c>
      <c r="H45" s="11"/>
      <c r="I45" s="11"/>
      <c r="J45" s="11"/>
      <c r="K45" s="11"/>
      <c r="L45" s="11"/>
      <c r="M45" s="11"/>
      <c r="N45" s="11"/>
      <c r="O45" s="11"/>
      <c r="P45" s="11"/>
      <c r="Q45" s="11"/>
      <c r="R45" s="11"/>
      <c r="S45" s="11"/>
      <c r="T45" s="11"/>
      <c r="U45" s="11"/>
      <c r="V45" s="11"/>
    </row>
    <row r="46" spans="1:46" x14ac:dyDescent="0.3">
      <c r="A46" s="11" t="s">
        <v>30</v>
      </c>
      <c r="B46" s="11">
        <f>(-B50/B51)</f>
        <v>1.956011502714073</v>
      </c>
      <c r="C46" s="11">
        <f>IF(D45&lt;=0,"",(LN(D46)))</f>
        <v>1.2383742310432684</v>
      </c>
      <c r="D46" s="11">
        <f>'FALL 3'!C46</f>
        <v>3.45</v>
      </c>
      <c r="E46" s="9">
        <f>IF(B22&lt;1,0,(EXP(B50+B51*C46))/((EXP(B50+B51*C46))+1)*100)</f>
        <v>15.631649335162514</v>
      </c>
      <c r="F46" s="11">
        <f>(B51*(EXP(B50+B51*C46)))/(((EXP(B50+B51*C46))+1)^2)</f>
        <v>0.30982026133626434</v>
      </c>
      <c r="G46" s="11">
        <f>IF(D46&lt;1,0,F46/B57)</f>
        <v>0.52752658903150584</v>
      </c>
      <c r="H46" s="11"/>
      <c r="I46" s="11"/>
      <c r="J46" s="11"/>
      <c r="K46" s="11"/>
      <c r="L46" s="11"/>
      <c r="M46" s="11"/>
      <c r="N46" s="11"/>
      <c r="O46" s="11"/>
      <c r="P46" s="11"/>
      <c r="Q46" s="11"/>
      <c r="R46" s="11"/>
      <c r="S46" s="11"/>
      <c r="T46" s="11"/>
      <c r="U46" s="11"/>
      <c r="V46" s="11"/>
    </row>
    <row r="47" spans="1:46" x14ac:dyDescent="0.3">
      <c r="A47" s="11"/>
      <c r="B47" s="11"/>
      <c r="C47" s="11">
        <f>IF(D45&lt;=0,"",(LN(D47)))</f>
        <v>1.7749523509116738</v>
      </c>
      <c r="D47" s="11">
        <f>'FALL 3'!C47</f>
        <v>5.9</v>
      </c>
      <c r="E47" s="9">
        <f>IF(B22&lt;1,0,(EXP(B50+B51*C47))/((EXP(B50+B51*C47))+1)*100)</f>
        <v>39.523737123548486</v>
      </c>
      <c r="F47" s="11">
        <f>(B51*(EXP(B50+B51*C47)))/(((EXP(B50+B51*C47))+1)^2)</f>
        <v>0.56152410091602578</v>
      </c>
      <c r="G47" s="11">
        <f>IF(D47&lt;1,0,F47/B57)</f>
        <v>0.95609916645739346</v>
      </c>
      <c r="H47" s="11"/>
      <c r="I47" s="11"/>
      <c r="J47" s="11"/>
      <c r="K47" s="11"/>
      <c r="L47" s="11"/>
      <c r="M47" s="11"/>
      <c r="N47" s="11"/>
      <c r="O47" s="11"/>
      <c r="P47" s="11"/>
      <c r="Q47" s="11"/>
      <c r="R47" s="11"/>
      <c r="S47" s="11"/>
      <c r="T47" s="11"/>
      <c r="U47" s="11"/>
      <c r="V47" s="11"/>
    </row>
    <row r="48" spans="1:46" x14ac:dyDescent="0.3">
      <c r="C48" s="11">
        <f>IF(D45&lt;=0,"",(LN(D48)))</f>
        <v>2.1222615388627641</v>
      </c>
      <c r="D48" s="11">
        <f>'FALL 3'!C48</f>
        <v>8.3500000000000014</v>
      </c>
      <c r="E48" s="9">
        <f>IF(B22&lt;1,0,(EXP(B50+B51*C48))/((EXP(B50+B51*C48))+1)*100)</f>
        <v>59.641737924053139</v>
      </c>
      <c r="F48" s="11">
        <f>(B51*(EXP(B50+B51*C48)))/(((EXP(B50+B51*C48))+1)^2)</f>
        <v>0.56546821620058807</v>
      </c>
      <c r="G48" s="11">
        <f>IF(D48&lt;1,0,F48/B57)</f>
        <v>0.96281475592155041</v>
      </c>
      <c r="H48" s="11"/>
      <c r="I48" s="11"/>
      <c r="J48" s="11"/>
      <c r="K48" s="11"/>
      <c r="L48" s="11"/>
      <c r="M48" s="11"/>
      <c r="N48" s="11"/>
      <c r="O48" s="11"/>
      <c r="P48" s="11"/>
      <c r="Q48" s="11"/>
      <c r="R48" s="11"/>
      <c r="S48" s="11"/>
      <c r="T48" s="11"/>
      <c r="U48" s="11"/>
      <c r="V48" s="11"/>
    </row>
    <row r="49" spans="1:22" x14ac:dyDescent="0.3">
      <c r="C49" s="11">
        <f>IF(D45&lt;=0,"",(LN(D49)))</f>
        <v>2.379546134130174</v>
      </c>
      <c r="D49" s="11">
        <f>'FALL 3'!C49</f>
        <v>10.8</v>
      </c>
      <c r="E49" s="9">
        <f>IF(B22&lt;1,0,(EXP(B50+B51*C49))/((EXP(B50+B51*C49))+1)*100)</f>
        <v>73.007045579952546</v>
      </c>
      <c r="F49" s="11">
        <f>(B51*(EXP(B50+B51*C49)))/(((EXP(B50+B51*C49))+1)^2)</f>
        <v>0.46295699264580892</v>
      </c>
      <c r="G49" s="11">
        <f>IF(D49&lt;1,0,F49/B57)</f>
        <v>0.78827034147279451</v>
      </c>
      <c r="H49" s="11"/>
      <c r="I49" s="11"/>
      <c r="J49" s="11"/>
      <c r="K49" s="11"/>
      <c r="L49" s="11"/>
      <c r="M49" s="11"/>
      <c r="N49" s="11"/>
      <c r="O49" s="11"/>
      <c r="P49" s="11"/>
      <c r="Q49" s="11"/>
      <c r="R49" s="11"/>
      <c r="S49" s="11"/>
      <c r="T49" s="11"/>
      <c r="U49" s="11"/>
      <c r="V49" s="11"/>
    </row>
    <row r="50" spans="1:22" x14ac:dyDescent="0.3">
      <c r="A50" s="9" t="s">
        <v>10</v>
      </c>
      <c r="B50" s="11">
        <f>$G$36</f>
        <v>-4.5951199999999996</v>
      </c>
      <c r="C50" s="11">
        <f>IF(D45&lt;=0,"",(LN(D50)))</f>
        <v>2.5839975524322312</v>
      </c>
      <c r="D50" s="11">
        <f>'FALL 3'!C50</f>
        <v>13.25</v>
      </c>
      <c r="E50" s="9">
        <f>IF(B22&lt;1,0,(EXP(B50+B51*C50))/((EXP(B50+B51*C50))+1)*100)</f>
        <v>81.385910552049125</v>
      </c>
      <c r="F50" s="11">
        <f>(B51*(EXP(B50+B51*C50)))/(((EXP(B50+B51*C50))+1)^2)</f>
        <v>0.35589056632680238</v>
      </c>
      <c r="G50" s="11">
        <f>IF(D50&lt;1,0,F50/B57)</f>
        <v>0.6059698475275086</v>
      </c>
      <c r="H50" s="11"/>
      <c r="I50" s="11"/>
      <c r="J50" s="11"/>
      <c r="K50" s="11"/>
      <c r="L50" s="11"/>
      <c r="M50" s="11"/>
      <c r="N50" s="11"/>
      <c r="O50" s="11"/>
      <c r="P50" s="11"/>
      <c r="Q50" s="11"/>
      <c r="R50" s="11"/>
      <c r="S50" s="11"/>
      <c r="T50" s="11"/>
      <c r="U50" s="11"/>
      <c r="V50" s="11"/>
    </row>
    <row r="51" spans="1:22" x14ac:dyDescent="0.3">
      <c r="A51" s="9" t="s">
        <v>11</v>
      </c>
      <c r="B51" s="11">
        <f>$G$37</f>
        <v>2.3492295385911683</v>
      </c>
      <c r="C51" s="11">
        <f>IF(D45&lt;=0,"",(LN(D51)))</f>
        <v>2.7536607123542622</v>
      </c>
      <c r="D51" s="11">
        <f>'FALL 3'!C51</f>
        <v>15.7</v>
      </c>
      <c r="E51" s="9">
        <f>IF(B22&lt;1,0,(EXP(B50+B51*C51))/((EXP(B50+B51*C51))+1)*100)</f>
        <v>86.690440534280995</v>
      </c>
      <c r="F51" s="11">
        <f>(B51*(EXP(B50+B51*C51)))/(((EXP(B50+B51*C51))+1)^2)</f>
        <v>0.27105682302005474</v>
      </c>
      <c r="G51" s="11">
        <f>IF(D51&lt;1,0,F51/B57)</f>
        <v>0.46152462936015587</v>
      </c>
      <c r="H51" s="11"/>
      <c r="I51" s="11"/>
      <c r="J51" s="11"/>
      <c r="N51" s="11"/>
      <c r="O51" s="11"/>
      <c r="P51" s="11"/>
      <c r="Q51" s="11"/>
      <c r="R51" s="11"/>
      <c r="S51" s="11"/>
      <c r="T51" s="11"/>
      <c r="U51" s="11"/>
      <c r="V51" s="11"/>
    </row>
    <row r="52" spans="1:22" x14ac:dyDescent="0.3">
      <c r="B52" s="11"/>
      <c r="C52" s="11">
        <f>IF(D45&lt;=0,"",(LN(D52)))</f>
        <v>2.8986705607108596</v>
      </c>
      <c r="D52" s="11">
        <f>'FALL 3'!C52</f>
        <v>18.149999999999999</v>
      </c>
      <c r="E52" s="9">
        <f>IF(B22&lt;1,0,(EXP(B50+B51*C52))/((EXP(B50+B51*C52))+1)*100)</f>
        <v>90.154607726434023</v>
      </c>
      <c r="F52" s="11">
        <f>(B51*(EXP(B50+B51*C52)))/(((EXP(B50+B51*C52))+1)^2)</f>
        <v>0.20851937067818344</v>
      </c>
      <c r="G52" s="11">
        <f>IF(D52&lt;1,0,F52/B57)</f>
        <v>0.35504299133448219</v>
      </c>
      <c r="H52" s="11"/>
      <c r="I52" s="11"/>
      <c r="J52" s="11"/>
      <c r="N52" s="11"/>
      <c r="O52" s="11"/>
      <c r="P52" s="11"/>
      <c r="Q52" s="11"/>
      <c r="R52" s="11"/>
      <c r="S52" s="11"/>
      <c r="T52" s="11"/>
      <c r="U52" s="11"/>
      <c r="V52" s="11"/>
    </row>
    <row r="53" spans="1:22" x14ac:dyDescent="0.3">
      <c r="B53" s="11"/>
      <c r="C53" s="11">
        <f>IF(D45&lt;=0,"",(LN(D53)))</f>
        <v>3.0252910757955354</v>
      </c>
      <c r="D53" s="11">
        <f>'FALL 3'!C53</f>
        <v>20.599999999999998</v>
      </c>
      <c r="E53" s="9">
        <f>IF(B22&lt;1,0,(EXP(B50+B51*C53))/((EXP(B50+B51*C53))+1)*100)</f>
        <v>92.497762586336961</v>
      </c>
      <c r="F53" s="11">
        <f>(B51*(EXP(B50+B51*C53)))/(((EXP(B50+B51*C53))+1)^2)</f>
        <v>0.16302247574900508</v>
      </c>
      <c r="G53" s="11">
        <f>IF(D53&lt;1,0,F53/B57)</f>
        <v>0.27757607006213547</v>
      </c>
      <c r="H53" s="11"/>
      <c r="I53" s="11"/>
      <c r="J53" s="11"/>
      <c r="N53" s="11"/>
      <c r="O53" s="11"/>
      <c r="P53" s="11"/>
      <c r="Q53" s="11"/>
      <c r="R53" s="11"/>
      <c r="S53" s="11"/>
      <c r="T53" s="11"/>
      <c r="U53" s="11"/>
      <c r="V53" s="11"/>
    </row>
    <row r="54" spans="1:22" x14ac:dyDescent="0.3">
      <c r="A54" s="9" t="s">
        <v>28</v>
      </c>
      <c r="B54" s="11">
        <v>1</v>
      </c>
      <c r="C54" s="11">
        <f>IF(D45&lt;=0,"",(LN(D54)))</f>
        <v>3.1376657694426573</v>
      </c>
      <c r="D54" s="11">
        <f>'FALL 3'!C54</f>
        <v>23.049999999999997</v>
      </c>
      <c r="E54" s="9">
        <f>IF(B22&lt;1,0,(EXP(B50+B51*C54))/((EXP(B50+B51*C54))+1)*100)</f>
        <v>94.136378268088365</v>
      </c>
      <c r="F54" s="11">
        <f>(B51*(EXP(B50+B51*C54)))/(((EXP(B50+B51*C54))+1)^2)</f>
        <v>0.12967279870583123</v>
      </c>
      <c r="G54" s="11">
        <f>IF(D54&lt;1,0,F54/B57)</f>
        <v>0.22079204535048702</v>
      </c>
      <c r="H54" s="11"/>
      <c r="I54" s="11"/>
      <c r="J54" s="11"/>
      <c r="O54" s="11"/>
      <c r="P54" s="11"/>
      <c r="Q54" s="11"/>
      <c r="R54" s="11"/>
      <c r="S54" s="11"/>
      <c r="T54" s="11"/>
      <c r="U54" s="11"/>
      <c r="V54" s="11"/>
    </row>
    <row r="55" spans="1:22" ht="14.4" customHeight="1" x14ac:dyDescent="0.45">
      <c r="A55" s="9" t="s">
        <v>29</v>
      </c>
      <c r="B55" s="11">
        <v>100</v>
      </c>
      <c r="C55" s="11">
        <f>IF(D45&lt;=0,"",(LN(D55)))</f>
        <v>3.2386784521643803</v>
      </c>
      <c r="D55" s="11">
        <f>'FALL 3'!C55</f>
        <v>25.499999999999996</v>
      </c>
      <c r="E55" s="9">
        <f>IF(B22&lt;1,0,(EXP(B50+B51*C55))/((EXP(B50+B51*C55))+1)*100)</f>
        <v>95.317043910167172</v>
      </c>
      <c r="F55" s="11">
        <f>(B51*(EXP(B50+B51*C55)))/(((EXP(B50+B51*C55))+1)^2)</f>
        <v>0.10486150910073001</v>
      </c>
      <c r="G55" s="11">
        <f>IF(D55&lt;1,0,F55/B57)</f>
        <v>0.17854621249759256</v>
      </c>
      <c r="H55" s="61"/>
      <c r="I55" s="11"/>
      <c r="J55" s="11"/>
      <c r="K55" s="11"/>
      <c r="L55" s="11"/>
      <c r="M55" s="11"/>
      <c r="O55" s="11"/>
      <c r="P55" s="11"/>
      <c r="Q55" s="11"/>
      <c r="R55" s="11"/>
      <c r="S55" s="11"/>
      <c r="T55" s="11"/>
      <c r="U55" s="11"/>
      <c r="V55" s="11"/>
    </row>
    <row r="56" spans="1:22" x14ac:dyDescent="0.3">
      <c r="A56" s="9" t="s">
        <v>13</v>
      </c>
      <c r="B56" s="11">
        <f>((LN((0.5/(1-0.5))))-B50)/B51</f>
        <v>1.956011502714073</v>
      </c>
      <c r="C56" s="11">
        <f>IF(D45&lt;=0,"",(LN(D56)))</f>
        <v>3.3304171996011078</v>
      </c>
      <c r="D56" s="11">
        <f>'FALL 3'!C56</f>
        <v>27.949999999999996</v>
      </c>
      <c r="E56" s="9">
        <f>IF(B22&lt;1,0,(EXP(B50+B51*C56))/((EXP(B50+B51*C56))+1)*100)</f>
        <v>96.190360047162343</v>
      </c>
      <c r="F56" s="11">
        <f>(B51*(EXP(B50+B51*C56)))/(((EXP(B50+B51*C56))+1)^2)</f>
        <v>8.6087666490137563E-2</v>
      </c>
      <c r="G56" s="11">
        <f>IF(D56&lt;1,0,F56/B57)</f>
        <v>0.1465802554854036</v>
      </c>
      <c r="H56" s="11"/>
      <c r="I56" s="11"/>
      <c r="J56" s="11"/>
      <c r="K56" s="11"/>
      <c r="L56" s="11"/>
      <c r="M56" s="11"/>
      <c r="O56" s="11"/>
      <c r="P56" s="11"/>
      <c r="Q56" s="11"/>
      <c r="R56" s="11"/>
      <c r="S56" s="11"/>
      <c r="T56" s="11"/>
      <c r="U56" s="11"/>
      <c r="V56" s="11"/>
    </row>
    <row r="57" spans="1:22" x14ac:dyDescent="0.3">
      <c r="A57" s="9" t="s">
        <v>17</v>
      </c>
      <c r="B57" s="11">
        <f>(B51*(EXP(B50+B51*B56)))/(((EXP(B50+B51*B56))+1)^2)</f>
        <v>0.58730738464779209</v>
      </c>
      <c r="C57" s="11">
        <f>IF(D45&lt;=0,"",(LN(D57)))</f>
        <v>3.414442608412176</v>
      </c>
      <c r="D57" s="11">
        <f>'FALL 3'!C57</f>
        <v>30.399999999999995</v>
      </c>
      <c r="E57" s="9">
        <f>IF(B22&lt;1,0,(EXP(B50+B51*C57))/((EXP(B50+B51*C57))+1)*100)</f>
        <v>96.851306983983591</v>
      </c>
      <c r="F57" s="11">
        <f>(B51*(EXP(B50+B51*C57)))/(((EXP(B50+B51*C57))+1)^2)</f>
        <v>7.1640937356240442E-2</v>
      </c>
      <c r="G57" s="11">
        <f>IF(D57&lt;1,0,F57/B57)</f>
        <v>0.12198201355701235</v>
      </c>
      <c r="H57" s="11"/>
      <c r="I57" s="11"/>
      <c r="J57" s="11"/>
      <c r="K57" s="11"/>
      <c r="L57" s="11"/>
      <c r="M57" s="13"/>
      <c r="O57" s="11"/>
      <c r="P57" s="11"/>
      <c r="Q57" s="11"/>
      <c r="R57" s="11"/>
      <c r="S57" s="11"/>
      <c r="T57" s="11"/>
      <c r="U57" s="11"/>
      <c r="V57" s="11"/>
    </row>
    <row r="58" spans="1:22" x14ac:dyDescent="0.3">
      <c r="C58" s="11">
        <f>IF(D45&lt;=0,"",(LN(D58)))</f>
        <v>3.4919517449306192</v>
      </c>
      <c r="D58" s="11">
        <f>'FALL 3'!C58</f>
        <v>32.849999999999994</v>
      </c>
      <c r="E58" s="9">
        <f>IF(B22&lt;1,0,(EXP(B50+B51*C58))/((EXP(B50+B51*C58))+1)*100)</f>
        <v>97.361643609845601</v>
      </c>
      <c r="F58" s="11">
        <f>(B51*(EXP(B50+B51*C58)))/(((EXP(B50+B51*C58))+1)^2)</f>
        <v>6.034576671943493E-2</v>
      </c>
      <c r="G58" s="11">
        <f>IF(D58&lt;1,0,F58/B57)</f>
        <v>0.10274988582958863</v>
      </c>
      <c r="H58" s="11"/>
      <c r="I58" s="11"/>
      <c r="J58" s="11"/>
      <c r="K58" s="11"/>
      <c r="L58" s="11"/>
      <c r="M58" s="11"/>
      <c r="O58" s="11"/>
      <c r="P58" s="11"/>
      <c r="Q58" s="11"/>
      <c r="R58" s="11"/>
      <c r="S58" s="11"/>
      <c r="T58" s="11"/>
      <c r="U58" s="11"/>
      <c r="V58" s="11"/>
    </row>
    <row r="59" spans="1:22" x14ac:dyDescent="0.3">
      <c r="C59" s="11">
        <f>IF(D45&lt;=0,"",(LN(D59)))</f>
        <v>3.5638829639392511</v>
      </c>
      <c r="D59" s="11">
        <f>'FALL 3'!C59</f>
        <v>35.299999999999997</v>
      </c>
      <c r="E59" s="9">
        <f>IF(B22&lt;1,0,(EXP(B50+B51*C59))/((EXP(B50+B51*C59))+1)*100)</f>
        <v>97.762668938648105</v>
      </c>
      <c r="F59" s="11">
        <f>(B51*(EXP(B50+B51*C59)))/(((EXP(B50+B51*C59))+1)^2)</f>
        <v>5.1384100020039444E-2</v>
      </c>
      <c r="G59" s="11">
        <f>IF(D59&lt;1,0,F59/B57)</f>
        <v>8.7490982342839876E-2</v>
      </c>
      <c r="H59" s="11"/>
      <c r="I59" s="11"/>
      <c r="J59" s="11"/>
      <c r="K59" s="11"/>
      <c r="L59" s="11"/>
      <c r="M59" s="11"/>
      <c r="O59" s="11"/>
      <c r="P59" s="11"/>
      <c r="Q59" s="11"/>
      <c r="R59" s="11"/>
      <c r="S59" s="11"/>
      <c r="T59" s="11"/>
      <c r="U59" s="11"/>
      <c r="V59" s="11"/>
    </row>
    <row r="60" spans="1:22" x14ac:dyDescent="0.3">
      <c r="C60" s="11">
        <f>IF(D45&lt;=0,"",(LN(D60)))</f>
        <v>3.6309854756950335</v>
      </c>
      <c r="D60" s="11">
        <f>'FALL 3'!C60</f>
        <v>37.75</v>
      </c>
      <c r="E60" s="9">
        <f>IF(B22&lt;1,0,(EXP(B50+B51*C60))/((EXP(B50+B51*C60))+1)*100)</f>
        <v>98.082709928628475</v>
      </c>
      <c r="F60" s="11">
        <f>(B51*(EXP(B50+B51*C60)))/(((EXP(B50+B51*C60))+1)^2)</f>
        <v>4.4177967632664975E-2</v>
      </c>
      <c r="G60" s="11">
        <f>IF(D60&lt;1,0,F60/B57)</f>
        <v>7.5221202367749013E-2</v>
      </c>
      <c r="H60" s="11"/>
      <c r="I60" s="11"/>
      <c r="J60" s="11"/>
      <c r="K60" s="11"/>
      <c r="L60" s="11"/>
      <c r="M60" s="11"/>
      <c r="O60" s="11"/>
      <c r="P60" s="11"/>
      <c r="Q60" s="11"/>
      <c r="R60" s="11"/>
      <c r="S60" s="11"/>
      <c r="T60" s="11"/>
      <c r="U60" s="11"/>
      <c r="V60" s="11"/>
    </row>
    <row r="61" spans="1:22" x14ac:dyDescent="0.3">
      <c r="C61" s="11">
        <f>IF(D45&lt;=0,"",(LN(D61)))</f>
        <v>3.6938669956249757</v>
      </c>
      <c r="D61" s="11">
        <f>'FALL 3'!C61</f>
        <v>40.200000000000003</v>
      </c>
      <c r="E61" s="9">
        <f>IF(B22&lt;1,0,(EXP(B50+B51*C61))/((EXP(B50+B51*C61))+1)*100)</f>
        <v>98.341645025130759</v>
      </c>
      <c r="F61" s="11">
        <f>(B51*(EXP(B50+B51*C61)))/(((EXP(B50+B51*C61))+1)^2)</f>
        <v>3.8312493624764341E-2</v>
      </c>
      <c r="G61" s="11">
        <f>IF(D61&lt;1,0,F61/B57)</f>
        <v>6.5234142505700518E-2</v>
      </c>
      <c r="H61" s="11"/>
      <c r="I61" s="11"/>
      <c r="J61" s="11"/>
      <c r="K61" s="11"/>
      <c r="L61" s="11"/>
      <c r="M61" s="11"/>
      <c r="O61" s="11"/>
      <c r="P61" s="11"/>
      <c r="Q61" s="11"/>
      <c r="R61" s="11"/>
      <c r="S61" s="11"/>
      <c r="T61" s="11"/>
      <c r="U61" s="11"/>
      <c r="V61" s="11"/>
    </row>
    <row r="62" spans="1:22" x14ac:dyDescent="0.3">
      <c r="C62" s="11">
        <f>IF(D45&lt;=0,"",(LN(D62)))</f>
        <v>3.7530272739376884</v>
      </c>
      <c r="D62" s="11">
        <f>'FALL 3'!C62</f>
        <v>42.650000000000006</v>
      </c>
      <c r="E62" s="9">
        <f>IF(B22&lt;1,0,(EXP(B50+B51*C62))/((EXP(B50+B51*C62))+1)*100)</f>
        <v>98.55371357653496</v>
      </c>
      <c r="F62" s="11">
        <f>(B51*(EXP(B50+B51*C62)))/(((EXP(B50+B51*C62))+1)^2)</f>
        <v>3.3485189095115234E-2</v>
      </c>
      <c r="G62" s="11">
        <f>IF(D62&lt;1,0,F62/B57)</f>
        <v>5.7014759171121754E-2</v>
      </c>
      <c r="H62" s="11"/>
      <c r="I62" s="11"/>
      <c r="J62" s="11"/>
      <c r="K62" s="11"/>
      <c r="L62" s="11"/>
      <c r="M62" s="11"/>
      <c r="O62" s="11"/>
      <c r="P62" s="11"/>
      <c r="Q62" s="11"/>
      <c r="R62" s="11"/>
      <c r="S62" s="11"/>
      <c r="T62" s="11"/>
      <c r="U62" s="11"/>
      <c r="V62" s="11"/>
    </row>
    <row r="63" spans="1:22" x14ac:dyDescent="0.3">
      <c r="C63" s="11">
        <f>IF(D45&lt;=0,"",(LN(D63)))</f>
        <v>3.8088822465086327</v>
      </c>
      <c r="D63" s="11">
        <f>'FALL 3'!C63</f>
        <v>45.100000000000009</v>
      </c>
      <c r="E63" s="9">
        <f>IF(B22&lt;1,0,(EXP(B50+B51*C63))/((EXP(B50+B51*C63))+1)*100)</f>
        <v>98.729306085430906</v>
      </c>
      <c r="F63" s="11">
        <f>(B51*(EXP(B50+B51*C63)))/(((EXP(B50+B51*C63))+1)^2)</f>
        <v>2.9472195378929696E-2</v>
      </c>
      <c r="G63" s="11">
        <f>IF(D63&lt;1,0,F63/B57)</f>
        <v>5.0181891372954819E-2</v>
      </c>
      <c r="H63" s="11"/>
      <c r="I63" s="11"/>
      <c r="J63" s="11"/>
      <c r="K63" s="11"/>
      <c r="L63" s="11"/>
      <c r="M63" s="11"/>
      <c r="O63" s="11"/>
      <c r="P63" s="11"/>
      <c r="Q63" s="11"/>
      <c r="R63" s="11"/>
      <c r="S63" s="11"/>
      <c r="T63" s="11"/>
      <c r="U63" s="11"/>
      <c r="V63" s="11"/>
    </row>
    <row r="64" spans="1:22" x14ac:dyDescent="0.3">
      <c r="C64" s="11">
        <f>IF(D45&lt;=0,"",(LN(D64)))</f>
        <v>3.8617817889913995</v>
      </c>
      <c r="D64" s="11">
        <f>'FALL 3'!C64</f>
        <v>47.550000000000011</v>
      </c>
      <c r="E64" s="9">
        <f>IF(B22&lt;1,0,(EXP(B50+B51*C64))/((EXP(B50+B51*C64))+1)*100)</f>
        <v>98.876132313728334</v>
      </c>
      <c r="F64" s="11">
        <f>(B51*(EXP(B50+B51*C64)))/(((EXP(B50+B51*C64))+1)^2)</f>
        <v>2.6105505510487216E-2</v>
      </c>
      <c r="G64" s="11">
        <f>IF(D64&lt;1,0,F64/B57)</f>
        <v>4.444947602036823E-2</v>
      </c>
      <c r="H64" s="11"/>
      <c r="I64" s="11"/>
      <c r="J64" s="11"/>
      <c r="K64" s="11"/>
      <c r="L64" s="11"/>
      <c r="M64" s="11"/>
      <c r="O64" s="11"/>
      <c r="P64" s="11"/>
      <c r="Q64" s="11"/>
      <c r="R64" s="11"/>
      <c r="S64" s="11"/>
      <c r="T64" s="11"/>
      <c r="U64" s="11"/>
      <c r="V64" s="11"/>
    </row>
    <row r="65" spans="1:22" x14ac:dyDescent="0.3">
      <c r="C65" s="11">
        <f>IF(D45&lt;=0,"",(LN(D65)))</f>
        <v>3.912023005428146</v>
      </c>
      <c r="D65" s="11">
        <f>'FALL 3'!C65</f>
        <v>50</v>
      </c>
      <c r="E65" s="9">
        <f>IF(B22&lt;1,0,(EXP(B50+B51*C65))/((EXP(B50+B51*C65))+1)*100)</f>
        <v>99.000000148366738</v>
      </c>
      <c r="F65" s="11">
        <f>(B51*(EXP(B50+B51*C65)))/(((EXP(B50+B51*C65))+1)^2)</f>
        <v>2.3257369016286677E-2</v>
      </c>
      <c r="G65" s="11">
        <f>IF(D65&lt;1,0,F65/B57)</f>
        <v>3.9599994184023601E-2</v>
      </c>
      <c r="H65" s="11"/>
      <c r="I65" s="11"/>
      <c r="J65" s="11"/>
      <c r="K65" s="11"/>
      <c r="L65" s="11"/>
      <c r="M65" s="11"/>
      <c r="O65" s="11"/>
      <c r="P65" s="11"/>
      <c r="Q65" s="11"/>
      <c r="R65" s="11"/>
      <c r="S65" s="11"/>
      <c r="T65" s="11"/>
      <c r="U65" s="11"/>
      <c r="V65" s="11"/>
    </row>
    <row r="66" spans="1:22" x14ac:dyDescent="0.3">
      <c r="B66" s="9" t="s">
        <v>35</v>
      </c>
      <c r="C66" s="11" t="str">
        <f>IF(D5&lt;=0,"",(LN(D66)))</f>
        <v/>
      </c>
      <c r="D66" s="11">
        <f>'FALL 3'!$C$66</f>
        <v>1</v>
      </c>
      <c r="H66" s="11">
        <v>0</v>
      </c>
      <c r="I66" s="11"/>
      <c r="J66" s="11"/>
      <c r="K66" s="11"/>
      <c r="L66" s="11"/>
      <c r="M66" s="11"/>
      <c r="O66" s="11"/>
      <c r="P66" s="11"/>
      <c r="Q66" s="11"/>
      <c r="R66" s="11"/>
      <c r="S66" s="11"/>
      <c r="T66" s="11"/>
      <c r="U66" s="11"/>
      <c r="V66" s="11"/>
    </row>
    <row r="67" spans="1:22" x14ac:dyDescent="0.3">
      <c r="B67" s="9" t="s">
        <v>35</v>
      </c>
      <c r="C67" s="11">
        <f>IF(D45&lt;=0,"",(LN(D67)))</f>
        <v>0</v>
      </c>
      <c r="D67" s="11">
        <f>'FALL 3'!C67</f>
        <v>1</v>
      </c>
      <c r="E67" s="11"/>
      <c r="F67" s="11"/>
      <c r="H67" s="11">
        <v>99</v>
      </c>
      <c r="I67" s="11"/>
      <c r="J67" s="11"/>
      <c r="K67" s="11"/>
      <c r="L67" s="11"/>
      <c r="M67" s="11"/>
      <c r="O67" s="11"/>
      <c r="P67" s="11"/>
      <c r="Q67" s="11"/>
      <c r="R67" s="11"/>
      <c r="S67" s="11"/>
      <c r="T67" s="11"/>
      <c r="U67" s="11"/>
      <c r="V67" s="11"/>
    </row>
    <row r="68" spans="1:22" x14ac:dyDescent="0.3">
      <c r="B68" s="9" t="s">
        <v>36</v>
      </c>
      <c r="C68" s="11">
        <f>IF(D45&lt;=0,"",(LN(D68)))</f>
        <v>3.912023005428146</v>
      </c>
      <c r="D68" s="11">
        <f>'FALL 3'!C68</f>
        <v>50</v>
      </c>
      <c r="E68" s="11"/>
      <c r="F68" s="11"/>
      <c r="H68" s="11"/>
      <c r="I68" s="11">
        <v>0</v>
      </c>
      <c r="J68" s="11"/>
      <c r="K68" s="11"/>
      <c r="L68" s="11"/>
      <c r="M68" s="11"/>
      <c r="O68" s="11"/>
      <c r="P68" s="11"/>
      <c r="Q68" s="11"/>
      <c r="R68" s="11"/>
      <c r="S68" s="11"/>
      <c r="T68" s="11"/>
      <c r="U68" s="11"/>
      <c r="V68" s="11"/>
    </row>
    <row r="69" spans="1:22" x14ac:dyDescent="0.3">
      <c r="B69" s="9" t="s">
        <v>36</v>
      </c>
      <c r="C69" s="11">
        <f>IF(D45&lt;=0,"",(LN(D69)))</f>
        <v>3.912023005428146</v>
      </c>
      <c r="D69" s="11">
        <f>'FALL 3'!C69</f>
        <v>50</v>
      </c>
      <c r="E69" s="11"/>
      <c r="F69" s="11"/>
      <c r="H69" s="11"/>
      <c r="I69" s="11">
        <v>99</v>
      </c>
      <c r="J69" s="11"/>
      <c r="K69" s="11"/>
      <c r="L69" s="11"/>
      <c r="M69" s="11"/>
      <c r="O69" s="11"/>
      <c r="P69" s="11"/>
      <c r="Q69" s="11"/>
      <c r="R69" s="11"/>
      <c r="S69" s="11"/>
      <c r="T69" s="11"/>
      <c r="U69" s="11"/>
      <c r="V69" s="11"/>
    </row>
    <row r="70" spans="1:22" x14ac:dyDescent="0.3">
      <c r="C70" s="11"/>
      <c r="D70" s="11"/>
      <c r="E70" s="11"/>
      <c r="F70" s="11"/>
      <c r="G70" s="11"/>
      <c r="H70" s="11"/>
      <c r="I70" s="11"/>
      <c r="J70" s="11"/>
      <c r="K70" s="11"/>
      <c r="L70" s="11"/>
      <c r="M70" s="11"/>
      <c r="O70" s="11"/>
      <c r="P70" s="11"/>
      <c r="Q70" s="11"/>
      <c r="R70" s="11"/>
      <c r="S70" s="11"/>
      <c r="T70" s="11"/>
      <c r="U70" s="11"/>
      <c r="V70" s="11"/>
    </row>
    <row r="71" spans="1:22" ht="14.4" customHeight="1" x14ac:dyDescent="0.5">
      <c r="A71" s="11"/>
      <c r="B71" s="11"/>
      <c r="C71" s="11"/>
      <c r="F71" s="62"/>
    </row>
    <row r="72" spans="1:22" x14ac:dyDescent="0.3">
      <c r="A72" s="11"/>
      <c r="B72" s="11"/>
      <c r="C72" s="11"/>
      <c r="I72" s="52"/>
      <c r="J72" s="52"/>
      <c r="K72" s="52"/>
      <c r="L72" s="52"/>
      <c r="M72" s="52"/>
      <c r="N72" s="52"/>
      <c r="O72" s="52"/>
      <c r="P72" s="52"/>
      <c r="Q72" s="52"/>
      <c r="R72" s="52"/>
      <c r="S72" s="52"/>
      <c r="T72" s="52"/>
    </row>
    <row r="73" spans="1:22" x14ac:dyDescent="0.3">
      <c r="A73" s="11" t="str">
        <f>'FALL 3'!A73</f>
        <v>Zufall gleichverteilt</v>
      </c>
      <c r="B73" s="11" t="str">
        <f>'FALL 3'!B73</f>
        <v>gleichverteilt geordnet</v>
      </c>
      <c r="C73" s="11" t="str">
        <f>'FALL 3'!C73</f>
        <v>ZZ</v>
      </c>
      <c r="D73" s="11" t="str">
        <f>'FALL 1'!D73</f>
        <v>ZufallsPROZENTE bez. auf Entnahmebereich</v>
      </c>
      <c r="F73" s="11" t="str">
        <f>'FALL 1'!F73</f>
        <v>xZufall Grafik</v>
      </c>
      <c r="G73" s="9" t="str">
        <f>'FALL 1'!G73</f>
        <v>Zzi Grafik</v>
      </c>
      <c r="I73" s="52" t="s">
        <v>79</v>
      </c>
      <c r="J73" s="52"/>
      <c r="K73" s="52"/>
      <c r="L73" s="52"/>
      <c r="M73" s="52"/>
      <c r="N73" s="52"/>
      <c r="O73" s="52"/>
      <c r="P73" s="52"/>
      <c r="Q73" s="52"/>
      <c r="R73" s="52"/>
      <c r="S73" s="52"/>
      <c r="T73" s="52"/>
      <c r="U73" s="52"/>
      <c r="V73" s="52"/>
    </row>
    <row r="74" spans="1:22" x14ac:dyDescent="0.3">
      <c r="A74" s="11">
        <f ca="1">'FALL 3'!A74</f>
        <v>28.040272016733912</v>
      </c>
      <c r="B74" s="11">
        <f ca="1">'FALL 3'!B74</f>
        <v>2.3210931377733552</v>
      </c>
      <c r="C74" s="11">
        <f>'FALL 3'!C74</f>
        <v>1</v>
      </c>
      <c r="D74" s="11">
        <f ca="1">IF(C74=0,"",(B74*0.01*(L37-L38)+L38))</f>
        <v>3.2746711335386043</v>
      </c>
      <c r="E74" s="11"/>
      <c r="F74" s="11">
        <f ca="1">IF(D74="","",(EXP(((LN((D74/(100-D74))))-B50)/B51)))</f>
        <v>1.6733599215620656</v>
      </c>
      <c r="G74" s="11">
        <f t="shared" ref="G74:G105" ca="1" si="11">D74</f>
        <v>3.2746711335386043</v>
      </c>
      <c r="H74" s="50" t="str">
        <f ca="1">IF(I176=C74,I74,"")</f>
        <v/>
      </c>
      <c r="I74" s="11">
        <f t="shared" ref="I74:I137" ca="1" si="12">IF(F74="","",ROUND(F74,1))</f>
        <v>1.7</v>
      </c>
      <c r="K74" s="11"/>
      <c r="M74" s="11"/>
      <c r="N74" s="11"/>
      <c r="O74" s="11"/>
      <c r="P74" s="11"/>
      <c r="Q74" s="11"/>
      <c r="R74" s="11"/>
      <c r="S74" s="11"/>
      <c r="T74" s="11"/>
      <c r="U74" s="52"/>
      <c r="V74" s="52"/>
    </row>
    <row r="75" spans="1:22" x14ac:dyDescent="0.3">
      <c r="A75" s="11">
        <f ca="1">'FALL 3'!A75</f>
        <v>14.49379961208353</v>
      </c>
      <c r="B75" s="11">
        <f ca="1">'FALL 3'!B75</f>
        <v>3.6181460197162254</v>
      </c>
      <c r="C75" s="11">
        <f>'FALL 3'!C75</f>
        <v>2</v>
      </c>
      <c r="D75" s="11">
        <f ca="1">IF(C75=0,"",(B75*0.01*(L37-L38)+L38))</f>
        <v>4.5457829616914074</v>
      </c>
      <c r="E75" s="11"/>
      <c r="F75" s="11">
        <f ca="1">IF(D75="","",(EXP(((LN((D75/(100-D75))))-B50)/B51)))</f>
        <v>1.9349420321406079</v>
      </c>
      <c r="G75" s="11">
        <f t="shared" ca="1" si="11"/>
        <v>4.5457829616914074</v>
      </c>
      <c r="H75" s="50" t="str">
        <f ca="1">IF(I176=C75,I75,"")</f>
        <v/>
      </c>
      <c r="I75" s="52">
        <f t="shared" ca="1" si="12"/>
        <v>1.9</v>
      </c>
      <c r="J75" s="52"/>
      <c r="K75" s="52"/>
      <c r="L75" s="52"/>
      <c r="M75" s="52"/>
      <c r="N75" s="52"/>
      <c r="O75" s="52"/>
      <c r="P75" s="52"/>
      <c r="Q75" s="52"/>
      <c r="R75" s="52"/>
      <c r="S75" s="52"/>
      <c r="T75" s="52"/>
      <c r="U75" s="52"/>
      <c r="V75" s="52"/>
    </row>
    <row r="76" spans="1:22" x14ac:dyDescent="0.3">
      <c r="A76" s="11">
        <f ca="1">'FALL 3'!A76</f>
        <v>30.928527190486321</v>
      </c>
      <c r="B76" s="11">
        <f ca="1">'FALL 3'!B76</f>
        <v>3.6249997631134772</v>
      </c>
      <c r="C76" s="11">
        <f>'FALL 3'!C76</f>
        <v>3</v>
      </c>
      <c r="D76" s="11">
        <f ca="1">IF(C76=0,"",(B76*0.01*(L37-L38)+L38))</f>
        <v>4.5524996302410514</v>
      </c>
      <c r="E76" s="11"/>
      <c r="F76" s="11">
        <f ca="1">IF(D76="","",(EXP(((LN((D76/(100-D76))))-B50)/B51)))</f>
        <v>1.9362165039101533</v>
      </c>
      <c r="G76" s="11">
        <f t="shared" ca="1" si="11"/>
        <v>4.5524996302410514</v>
      </c>
      <c r="H76" s="50" t="str">
        <f ca="1">IF(I176=C76,I76,"")</f>
        <v/>
      </c>
      <c r="I76" s="52">
        <f t="shared" ca="1" si="12"/>
        <v>1.9</v>
      </c>
      <c r="J76" s="52"/>
      <c r="K76" s="52"/>
      <c r="L76" s="52"/>
      <c r="M76" s="52"/>
      <c r="N76" s="52"/>
      <c r="O76" s="52"/>
      <c r="P76" s="52"/>
      <c r="Q76" s="52"/>
      <c r="R76" s="52"/>
      <c r="S76" s="52"/>
      <c r="T76" s="52"/>
      <c r="U76" s="52"/>
      <c r="V76" s="52"/>
    </row>
    <row r="77" spans="1:22" x14ac:dyDescent="0.3">
      <c r="A77" s="11">
        <f ca="1">'FALL 3'!A77</f>
        <v>75.576022612968487</v>
      </c>
      <c r="B77" s="11">
        <f ca="1">'FALL 3'!B77</f>
        <v>4.3786339455653129</v>
      </c>
      <c r="C77" s="11">
        <f>'FALL 3'!C77</f>
        <v>4</v>
      </c>
      <c r="D77" s="11">
        <f ca="1">IF(C77=0,"",(B77*0.01*(L37-L38)+L38))</f>
        <v>5.2910611312801352</v>
      </c>
      <c r="E77" s="11"/>
      <c r="F77" s="11">
        <f ca="1">IF(D77="","",(EXP(((LN((D77/(100-D77))))-B50)/B51)))</f>
        <v>2.0710151031036141</v>
      </c>
      <c r="G77" s="11">
        <f t="shared" ca="1" si="11"/>
        <v>5.2910611312801352</v>
      </c>
      <c r="H77" s="50" t="str">
        <f ca="1">IF(I176=C77,I77,"")</f>
        <v/>
      </c>
      <c r="I77" s="52">
        <f t="shared" ca="1" si="12"/>
        <v>2.1</v>
      </c>
      <c r="J77" s="52"/>
      <c r="K77" s="52"/>
      <c r="L77" s="52"/>
      <c r="M77" s="52"/>
      <c r="N77" s="52"/>
      <c r="O77" s="52"/>
      <c r="P77" s="52"/>
      <c r="Q77" s="52"/>
      <c r="R77" s="52"/>
      <c r="S77" s="52"/>
      <c r="T77" s="52"/>
      <c r="U77" s="52"/>
      <c r="V77" s="52"/>
    </row>
    <row r="78" spans="1:22" x14ac:dyDescent="0.3">
      <c r="A78" s="11">
        <f ca="1">'FALL 3'!A78</f>
        <v>7.7325278885367439</v>
      </c>
      <c r="B78" s="11">
        <f ca="1">'FALL 3'!B78</f>
        <v>5.7089520016855859</v>
      </c>
      <c r="C78" s="11">
        <f>'FALL 3'!C78</f>
        <v>5</v>
      </c>
      <c r="D78" s="11">
        <f ca="1">IF(C78=0,"",(B78*0.01*(L37-L38)+L38))</f>
        <v>6.5947728302255024</v>
      </c>
      <c r="E78" s="11"/>
      <c r="F78" s="11">
        <f ca="1">IF(D78="","",(EXP(((LN((D78/(100-D78))))-B50)/B51)))</f>
        <v>2.2880430990192839</v>
      </c>
      <c r="G78" s="11">
        <f t="shared" ca="1" si="11"/>
        <v>6.5947728302255024</v>
      </c>
      <c r="H78" s="50" t="str">
        <f ca="1">IF(I176=C78,I78,"")</f>
        <v/>
      </c>
      <c r="I78" s="52">
        <f t="shared" ca="1" si="12"/>
        <v>2.2999999999999998</v>
      </c>
      <c r="J78" s="52"/>
      <c r="K78" s="52"/>
      <c r="L78" s="52"/>
      <c r="M78" s="52"/>
      <c r="N78" s="52"/>
      <c r="O78" s="52"/>
      <c r="P78" s="52"/>
      <c r="Q78" s="52"/>
      <c r="R78" s="52"/>
      <c r="S78" s="52"/>
      <c r="T78" s="52"/>
      <c r="U78" s="52"/>
      <c r="V78" s="52"/>
    </row>
    <row r="79" spans="1:22" x14ac:dyDescent="0.3">
      <c r="A79" s="11">
        <f ca="1">'FALL 3'!A79</f>
        <v>66.060567090885314</v>
      </c>
      <c r="B79" s="11">
        <f ca="1">'FALL 3'!B79</f>
        <v>6.0767745995305233</v>
      </c>
      <c r="C79" s="11">
        <f>'FALL 3'!C79</f>
        <v>6</v>
      </c>
      <c r="D79" s="11">
        <f ca="1">IF(C79=0,"",(B79*0.01*(L37-L38)+L38))</f>
        <v>6.955238977204993</v>
      </c>
      <c r="E79" s="11"/>
      <c r="F79" s="11">
        <f ca="1">IF(D79="","",(EXP(((LN((D79/(100-D79))))-B50)/B51)))</f>
        <v>2.3443217866646573</v>
      </c>
      <c r="G79" s="11">
        <f t="shared" ca="1" si="11"/>
        <v>6.955238977204993</v>
      </c>
      <c r="H79" s="50" t="str">
        <f ca="1">IF(I176=C79,I79,"")</f>
        <v/>
      </c>
      <c r="I79" s="52">
        <f t="shared" ca="1" si="12"/>
        <v>2.2999999999999998</v>
      </c>
      <c r="J79" s="52"/>
      <c r="K79" s="52"/>
      <c r="L79" s="52"/>
      <c r="M79" s="52"/>
      <c r="N79" s="52"/>
      <c r="O79" s="52"/>
      <c r="P79" s="52"/>
      <c r="Q79" s="52"/>
      <c r="R79" s="52"/>
      <c r="S79" s="52"/>
      <c r="T79" s="52"/>
      <c r="U79" s="52"/>
      <c r="V79" s="52"/>
    </row>
    <row r="80" spans="1:22" x14ac:dyDescent="0.3">
      <c r="A80" s="11">
        <f ca="1">'FALL 3'!A80</f>
        <v>22.402120716537858</v>
      </c>
      <c r="B80" s="11">
        <f ca="1">'FALL 3'!B80</f>
        <v>7.1222617714573033</v>
      </c>
      <c r="C80" s="11">
        <f>'FALL 3'!C80</f>
        <v>7</v>
      </c>
      <c r="D80" s="11">
        <f ca="1">IF(C80=0,"",(B80*0.01*(L37-L38)+L38))</f>
        <v>7.979816408795549</v>
      </c>
      <c r="E80" s="11"/>
      <c r="F80" s="11">
        <f ca="1">IF(D80="","",(EXP(((LN((D80/(100-D80))))-B50)/B51)))</f>
        <v>2.4972880416240737</v>
      </c>
      <c r="G80" s="11">
        <f t="shared" ca="1" si="11"/>
        <v>7.979816408795549</v>
      </c>
      <c r="H80" s="50" t="str">
        <f ca="1">IF(I176=C80,I80,"")</f>
        <v/>
      </c>
      <c r="I80" s="52">
        <f t="shared" ca="1" si="12"/>
        <v>2.5</v>
      </c>
      <c r="J80" s="52"/>
      <c r="K80" s="52"/>
      <c r="L80" s="52"/>
      <c r="M80" s="52"/>
      <c r="N80" s="52"/>
      <c r="O80" s="52"/>
      <c r="P80" s="52"/>
      <c r="Q80" s="52"/>
      <c r="R80" s="52"/>
      <c r="S80" s="52"/>
      <c r="T80" s="52"/>
      <c r="U80" s="52"/>
      <c r="V80" s="52"/>
    </row>
    <row r="81" spans="1:22" x14ac:dyDescent="0.3">
      <c r="A81" s="11">
        <f ca="1">'FALL 3'!A81</f>
        <v>42.764662812604882</v>
      </c>
      <c r="B81" s="11">
        <f ca="1">'FALL 3'!B81</f>
        <v>7.236393778707586</v>
      </c>
      <c r="C81" s="11">
        <f>'FALL 3'!C81</f>
        <v>8</v>
      </c>
      <c r="D81" s="11">
        <f ca="1">IF(C81=0,"",(B81*0.01*(L37-L38)+L38))</f>
        <v>8.091665776239493</v>
      </c>
      <c r="E81" s="11"/>
      <c r="F81" s="11">
        <f ca="1">IF(D81="","",(EXP(((LN((D81/(100-D81))))-B50)/B51)))</f>
        <v>2.5134293200707982</v>
      </c>
      <c r="G81" s="11">
        <f t="shared" ca="1" si="11"/>
        <v>8.091665776239493</v>
      </c>
      <c r="H81" s="50" t="str">
        <f ca="1">IF(I176=C81,I81,"")</f>
        <v/>
      </c>
      <c r="I81" s="52">
        <f t="shared" ca="1" si="12"/>
        <v>2.5</v>
      </c>
      <c r="J81" s="52"/>
      <c r="K81" s="52"/>
      <c r="L81" s="52"/>
      <c r="M81" s="52"/>
      <c r="N81" s="52"/>
      <c r="O81" s="52"/>
      <c r="P81" s="52"/>
      <c r="Q81" s="52"/>
      <c r="R81" s="52"/>
      <c r="S81" s="52"/>
      <c r="T81" s="52"/>
      <c r="U81" s="52"/>
      <c r="V81" s="52"/>
    </row>
    <row r="82" spans="1:22" x14ac:dyDescent="0.3">
      <c r="A82" s="11">
        <f ca="1">'FALL 3'!A82</f>
        <v>33.68582618215472</v>
      </c>
      <c r="B82" s="11">
        <f ca="1">'FALL 3'!B82</f>
        <v>7.7325278885367439</v>
      </c>
      <c r="C82" s="11">
        <f>'FALL 3'!C82</f>
        <v>9</v>
      </c>
      <c r="D82" s="11">
        <f ca="1">IF(C82=0,"",(B82*0.01*(L37-L38)+L38))</f>
        <v>8.5778772053442633</v>
      </c>
      <c r="E82" s="11"/>
      <c r="F82" s="11">
        <f ca="1">IF(D82="","",(EXP(((LN((D82/(100-D82))))-B50)/B51)))</f>
        <v>2.582465749096535</v>
      </c>
      <c r="G82" s="11">
        <f t="shared" ca="1" si="11"/>
        <v>8.5778772053442633</v>
      </c>
      <c r="H82" s="50" t="str">
        <f ca="1">IF(I176=C82,I82,"")</f>
        <v/>
      </c>
      <c r="I82" s="52">
        <f t="shared" ca="1" si="12"/>
        <v>2.6</v>
      </c>
      <c r="J82" s="52"/>
      <c r="K82" s="52"/>
      <c r="L82" s="52"/>
      <c r="M82" s="52"/>
      <c r="N82" s="52"/>
      <c r="O82" s="52"/>
      <c r="P82" s="52"/>
      <c r="Q82" s="52"/>
      <c r="R82" s="52"/>
      <c r="S82" s="52"/>
      <c r="T82" s="52"/>
      <c r="U82" s="52"/>
      <c r="V82" s="52"/>
    </row>
    <row r="83" spans="1:22" x14ac:dyDescent="0.3">
      <c r="A83" s="11">
        <f ca="1">'FALL 3'!A83</f>
        <v>61.62027419648895</v>
      </c>
      <c r="B83" s="11">
        <f ca="1">'FALL 3'!B83</f>
        <v>8.6086870533608284</v>
      </c>
      <c r="C83" s="11">
        <f>'FALL 3'!C83</f>
        <v>10</v>
      </c>
      <c r="D83" s="11">
        <f ca="1">IF(C83=0,"",(B83*0.01*(L37-L38)+L38))</f>
        <v>9.4365131894717251</v>
      </c>
      <c r="E83" s="11"/>
      <c r="F83" s="11">
        <f ca="1">IF(D83="","",(EXP(((LN((D83/(100-D83))))-B50)/B51)))</f>
        <v>2.7003207066845718</v>
      </c>
      <c r="G83" s="11">
        <f t="shared" ca="1" si="11"/>
        <v>9.4365131894717251</v>
      </c>
      <c r="H83" s="50" t="str">
        <f ca="1">IF(I176=C83,I83,"")</f>
        <v/>
      </c>
      <c r="I83" s="52">
        <f t="shared" ca="1" si="12"/>
        <v>2.7</v>
      </c>
      <c r="J83" s="52"/>
      <c r="K83" s="52"/>
      <c r="L83" s="52"/>
      <c r="M83" s="52"/>
      <c r="N83" s="52"/>
      <c r="O83" s="52"/>
      <c r="P83" s="52"/>
      <c r="Q83" s="52"/>
      <c r="R83" s="52"/>
      <c r="S83" s="52"/>
      <c r="T83" s="52"/>
      <c r="U83" s="52"/>
      <c r="V83" s="52"/>
    </row>
    <row r="84" spans="1:22" x14ac:dyDescent="0.3">
      <c r="A84" s="11">
        <f ca="1">'FALL 3'!A84</f>
        <v>7.1222617714573033</v>
      </c>
      <c r="B84" s="11">
        <f ca="1">'FALL 3'!B84</f>
        <v>9.2836085325027931</v>
      </c>
      <c r="C84" s="11">
        <f>'FALL 3'!C84</f>
        <v>11</v>
      </c>
      <c r="D84" s="11">
        <f ca="1">IF(C84=0,"",(B84*0.01*(L37-L38)+L38))</f>
        <v>10.097936241033569</v>
      </c>
      <c r="E84" s="11"/>
      <c r="F84" s="11">
        <f ca="1">IF(D84="","",(EXP(((LN((D84/(100-D84))))-B50)/B51)))</f>
        <v>2.7880090048419808</v>
      </c>
      <c r="G84" s="11">
        <f t="shared" ca="1" si="11"/>
        <v>10.097936241033569</v>
      </c>
      <c r="H84" s="50" t="str">
        <f ca="1">IF(I176=C84,I84,"")</f>
        <v/>
      </c>
      <c r="I84" s="52">
        <f t="shared" ca="1" si="12"/>
        <v>2.8</v>
      </c>
      <c r="J84" s="52"/>
      <c r="K84" s="52"/>
      <c r="L84" s="52"/>
      <c r="M84" s="52"/>
      <c r="N84" s="52"/>
      <c r="O84" s="52"/>
      <c r="P84" s="52"/>
      <c r="Q84" s="52"/>
      <c r="R84" s="52"/>
      <c r="S84" s="52"/>
      <c r="T84" s="52"/>
      <c r="U84" s="52"/>
      <c r="V84" s="52"/>
    </row>
    <row r="85" spans="1:22" x14ac:dyDescent="0.3">
      <c r="A85" s="11">
        <f ca="1">'FALL 3'!A85</f>
        <v>21.722597038799464</v>
      </c>
      <c r="B85" s="11">
        <f ca="1">'FALL 3'!B85</f>
        <v>10.53043649250084</v>
      </c>
      <c r="C85" s="11">
        <f>'FALL 3'!C85</f>
        <v>12</v>
      </c>
      <c r="D85" s="11">
        <f ca="1">IF(C85=0,"",(B85*0.01*(L37-L38)+L38))</f>
        <v>11.31982764553141</v>
      </c>
      <c r="E85" s="11"/>
      <c r="F85" s="11">
        <f ca="1">IF(D85="","",(EXP(((LN((D85/(100-D85))))-B50)/B51)))</f>
        <v>2.9440173153969647</v>
      </c>
      <c r="G85" s="11">
        <f t="shared" ca="1" si="11"/>
        <v>11.31982764553141</v>
      </c>
      <c r="H85" s="50" t="str">
        <f ca="1">IF(I176=C85,I85,"")</f>
        <v/>
      </c>
      <c r="I85" s="52">
        <f t="shared" ca="1" si="12"/>
        <v>2.9</v>
      </c>
      <c r="J85" s="52"/>
      <c r="K85" s="52"/>
      <c r="L85" s="52"/>
      <c r="M85" s="52"/>
      <c r="N85" s="52"/>
      <c r="O85" s="52"/>
      <c r="P85" s="52"/>
      <c r="Q85" s="52"/>
      <c r="R85" s="52"/>
      <c r="S85" s="52"/>
      <c r="T85" s="52"/>
      <c r="U85" s="52"/>
      <c r="V85" s="52"/>
    </row>
    <row r="86" spans="1:22" x14ac:dyDescent="0.3">
      <c r="A86" s="11">
        <f ca="1">'FALL 3'!A86</f>
        <v>66.829826929516031</v>
      </c>
      <c r="B86" s="11">
        <f ca="1">'FALL 3'!B86</f>
        <v>10.885530224479504</v>
      </c>
      <c r="C86" s="11">
        <f>'FALL 3'!C86</f>
        <v>13</v>
      </c>
      <c r="D86" s="11">
        <f ca="1">IF(C86=0,"",(B86*0.01*(L37-L38)+L38))</f>
        <v>11.667819503924184</v>
      </c>
      <c r="E86" s="11"/>
      <c r="F86" s="11">
        <f ca="1">IF(D86="","",(EXP(((LN((D86/(100-D86))))-B50)/B51)))</f>
        <v>2.9872031533713059</v>
      </c>
      <c r="G86" s="11">
        <f t="shared" ca="1" si="11"/>
        <v>11.667819503924184</v>
      </c>
      <c r="H86" s="50" t="str">
        <f>IF(I1876=C86,I86,"")</f>
        <v/>
      </c>
      <c r="I86" s="52">
        <f t="shared" ca="1" si="12"/>
        <v>3</v>
      </c>
      <c r="J86" s="52"/>
      <c r="K86" s="52"/>
      <c r="L86" s="52"/>
      <c r="M86" s="52"/>
      <c r="N86" s="52"/>
      <c r="O86" s="52"/>
      <c r="P86" s="52"/>
      <c r="Q86" s="52"/>
      <c r="R86" s="52"/>
      <c r="S86" s="52"/>
      <c r="T86" s="52"/>
      <c r="U86" s="52"/>
      <c r="V86" s="52"/>
    </row>
    <row r="87" spans="1:22" x14ac:dyDescent="0.3">
      <c r="A87" s="11">
        <f ca="1">'FALL 3'!A87</f>
        <v>38.485894582626536</v>
      </c>
      <c r="B87" s="11">
        <f ca="1">'FALL 3'!B87</f>
        <v>10.913854291659938</v>
      </c>
      <c r="C87" s="11">
        <f>'FALL 3'!C87</f>
        <v>14</v>
      </c>
      <c r="D87" s="11">
        <f ca="1">IF(C87=0,"",(B87*0.01*(L37-L38)+L38))</f>
        <v>11.695577089845056</v>
      </c>
      <c r="E87" s="11"/>
      <c r="F87" s="11">
        <f ca="1">IF(D87="","",(EXP(((LN((D87/(100-D87))))-B50)/B51)))</f>
        <v>2.990626203004298</v>
      </c>
      <c r="G87" s="11">
        <f t="shared" ca="1" si="11"/>
        <v>11.695577089845056</v>
      </c>
      <c r="H87" s="50" t="str">
        <f ca="1">IF(I176=C87,I87,"")</f>
        <v/>
      </c>
      <c r="I87" s="52">
        <f t="shared" ca="1" si="12"/>
        <v>3</v>
      </c>
      <c r="J87" s="52"/>
      <c r="K87" s="52"/>
      <c r="L87" s="52"/>
      <c r="M87" s="52"/>
      <c r="N87" s="52"/>
      <c r="O87" s="52"/>
      <c r="P87" s="52"/>
      <c r="Q87" s="52"/>
      <c r="R87" s="52"/>
      <c r="S87" s="52"/>
      <c r="T87" s="52"/>
      <c r="U87" s="52"/>
      <c r="V87" s="52"/>
    </row>
    <row r="88" spans="1:22" x14ac:dyDescent="0.3">
      <c r="A88" s="11">
        <f ca="1">'FALL 3'!A88</f>
        <v>7.236393778707586</v>
      </c>
      <c r="B88" s="11">
        <f ca="1">'FALL 3'!B88</f>
        <v>14.49379961208353</v>
      </c>
      <c r="C88" s="11">
        <f>'FALL 3'!C88</f>
        <v>15</v>
      </c>
      <c r="D88" s="11">
        <f ca="1">IF(C88=0,"",(B88*0.01*(L37-L38)+L38))</f>
        <v>15.203923514483073</v>
      </c>
      <c r="E88" s="11"/>
      <c r="F88" s="11">
        <f ca="1">IF(D88="","",(EXP(((LN((D88/(100-D88))))-B50)/B51)))</f>
        <v>3.4021641653583878</v>
      </c>
      <c r="G88" s="11">
        <f t="shared" ca="1" si="11"/>
        <v>15.203923514483073</v>
      </c>
      <c r="H88" s="50" t="str">
        <f ca="1">IF(I176=C88,I88,"")</f>
        <v/>
      </c>
      <c r="I88" s="52">
        <f t="shared" ca="1" si="12"/>
        <v>3.4</v>
      </c>
      <c r="J88" s="52"/>
      <c r="K88" s="52"/>
      <c r="L88" s="52"/>
      <c r="M88" s="52"/>
      <c r="N88" s="52"/>
      <c r="O88" s="52"/>
      <c r="P88" s="52"/>
      <c r="Q88" s="52"/>
      <c r="R88" s="52"/>
      <c r="S88" s="52"/>
      <c r="T88" s="52"/>
      <c r="U88" s="52"/>
      <c r="V88" s="52"/>
    </row>
    <row r="89" spans="1:22" x14ac:dyDescent="0.3">
      <c r="A89" s="11">
        <f ca="1">'FALL 3'!A89</f>
        <v>46.064691747729199</v>
      </c>
      <c r="B89" s="11">
        <f ca="1">'FALL 3'!B89</f>
        <v>14.787882301540993</v>
      </c>
      <c r="C89" s="11">
        <f>'FALL 3'!C89</f>
        <v>16</v>
      </c>
      <c r="D89" s="11">
        <f ca="1">IF(C89=0,"",(B89*0.01*(L37-L38)+L38))</f>
        <v>15.492124551024029</v>
      </c>
      <c r="E89" s="11"/>
      <c r="F89" s="11">
        <f ca="1">IF(D89="","",(EXP(((LN((D89/(100-D89))))-B50)/B51)))</f>
        <v>3.4344415765785485</v>
      </c>
      <c r="G89" s="11">
        <f t="shared" ca="1" si="11"/>
        <v>15.492124551024029</v>
      </c>
      <c r="H89" s="50" t="str">
        <f ca="1">IF(I176=C89,I89,"")</f>
        <v/>
      </c>
      <c r="I89" s="52">
        <f t="shared" ca="1" si="12"/>
        <v>3.4</v>
      </c>
      <c r="J89" s="52"/>
      <c r="K89" s="52"/>
      <c r="L89" s="52"/>
      <c r="M89" s="52"/>
      <c r="N89" s="52"/>
      <c r="O89" s="52"/>
      <c r="P89" s="52"/>
      <c r="Q89" s="52"/>
      <c r="R89" s="52"/>
      <c r="S89" s="52"/>
      <c r="T89" s="52"/>
      <c r="U89" s="52"/>
      <c r="V89" s="52"/>
    </row>
    <row r="90" spans="1:22" x14ac:dyDescent="0.3">
      <c r="A90" s="11">
        <f ca="1">'FALL 3'!A90</f>
        <v>21.832727086753366</v>
      </c>
      <c r="B90" s="11">
        <f ca="1">'FALL 3'!B90</f>
        <v>15.018448098362695</v>
      </c>
      <c r="C90" s="11">
        <f>'FALL 3'!C90</f>
        <v>17</v>
      </c>
      <c r="D90" s="11">
        <f ca="1">IF(C90=0,"",(B90*0.01*(L37-L38)+L38))</f>
        <v>15.718079032593463</v>
      </c>
      <c r="E90" s="11"/>
      <c r="F90" s="11">
        <f ca="1">IF(D90="","",(EXP(((LN((D90/(100-D90))))-B50)/B51)))</f>
        <v>3.4596161512000654</v>
      </c>
      <c r="G90" s="11">
        <f t="shared" ca="1" si="11"/>
        <v>15.718079032593463</v>
      </c>
      <c r="H90" s="50" t="str">
        <f ca="1">IF(I176=C90,I90,"")</f>
        <v/>
      </c>
      <c r="I90" s="52">
        <f t="shared" ca="1" si="12"/>
        <v>3.5</v>
      </c>
      <c r="J90" s="52"/>
      <c r="K90" s="52"/>
      <c r="L90" s="52"/>
      <c r="M90" s="52"/>
      <c r="N90" s="52"/>
      <c r="O90" s="52"/>
      <c r="P90" s="52"/>
      <c r="Q90" s="52"/>
      <c r="R90" s="52"/>
      <c r="S90" s="52"/>
      <c r="T90" s="52"/>
      <c r="U90" s="52"/>
      <c r="V90" s="52"/>
    </row>
    <row r="91" spans="1:22" x14ac:dyDescent="0.3">
      <c r="A91" s="11">
        <f ca="1">'FALL 3'!A91</f>
        <v>40.248097189293503</v>
      </c>
      <c r="B91" s="11">
        <f ca="1">'FALL 3'!B91</f>
        <v>18.068569221852552</v>
      </c>
      <c r="C91" s="11">
        <f>'FALL 3'!C91</f>
        <v>18</v>
      </c>
      <c r="D91" s="11">
        <f ca="1">IF(C91=0,"",(B91*0.01*(L37-L38)+L38))</f>
        <v>18.707197742664253</v>
      </c>
      <c r="E91" s="11"/>
      <c r="F91" s="11">
        <f ca="1">IF(D91="","",(EXP(((LN((D91/(100-D91))))-B50)/B51)))</f>
        <v>3.7834512795853135</v>
      </c>
      <c r="G91" s="11">
        <f t="shared" ca="1" si="11"/>
        <v>18.707197742664253</v>
      </c>
      <c r="H91" s="50" t="str">
        <f>IF(I1976=C91,I91,"")</f>
        <v/>
      </c>
      <c r="I91" s="52">
        <f t="shared" ca="1" si="12"/>
        <v>3.8</v>
      </c>
      <c r="J91" s="52"/>
      <c r="K91" s="52"/>
      <c r="L91" s="52"/>
      <c r="M91" s="52"/>
      <c r="N91" s="52"/>
      <c r="O91" s="52"/>
      <c r="P91" s="52"/>
      <c r="Q91" s="52"/>
      <c r="R91" s="52"/>
      <c r="S91" s="52"/>
      <c r="T91" s="52"/>
      <c r="U91" s="52"/>
      <c r="V91" s="52"/>
    </row>
    <row r="92" spans="1:22" x14ac:dyDescent="0.3">
      <c r="A92" s="11">
        <f ca="1">'FALL 3'!A92</f>
        <v>22.798403487660405</v>
      </c>
      <c r="B92" s="11">
        <f ca="1">'FALL 3'!B92</f>
        <v>18.096694046407926</v>
      </c>
      <c r="C92" s="11">
        <f>'FALL 3'!C92</f>
        <v>19</v>
      </c>
      <c r="D92" s="11">
        <f ca="1">IF(C92=0,"",(B92*0.01*(L37-L38)+L38))</f>
        <v>18.734760070811976</v>
      </c>
      <c r="E92" s="11"/>
      <c r="F92" s="11">
        <f ca="1">IF(D92="","",(EXP(((LN((D92/(100-D92))))-B50)/B51)))</f>
        <v>3.7863696410398737</v>
      </c>
      <c r="G92" s="11">
        <f t="shared" ca="1" si="11"/>
        <v>18.734760070811976</v>
      </c>
      <c r="H92" s="50" t="str">
        <f ca="1">IF(I176=C92,I92,"")</f>
        <v/>
      </c>
      <c r="I92" s="52">
        <f t="shared" ca="1" si="12"/>
        <v>3.8</v>
      </c>
      <c r="J92" s="52"/>
      <c r="K92" s="52"/>
      <c r="L92" s="52"/>
      <c r="M92" s="52"/>
      <c r="N92" s="52"/>
      <c r="O92" s="52"/>
      <c r="P92" s="52"/>
      <c r="Q92" s="52"/>
      <c r="R92" s="52"/>
      <c r="S92" s="52"/>
      <c r="T92" s="52"/>
      <c r="U92" s="52"/>
      <c r="V92" s="52"/>
    </row>
    <row r="93" spans="1:22" x14ac:dyDescent="0.3">
      <c r="A93" s="11">
        <f ca="1">'FALL 3'!A93</f>
        <v>49.691148443190642</v>
      </c>
      <c r="B93" s="11">
        <f ca="1">'FALL 3'!B93</f>
        <v>19.165157236496931</v>
      </c>
      <c r="C93" s="11">
        <f>'FALL 3'!C93</f>
        <v>20</v>
      </c>
      <c r="D93" s="11">
        <f ca="1">IF(C93=0,"",(B93*0.01*(L37-L38)+L38))</f>
        <v>19.781854000269689</v>
      </c>
      <c r="E93" s="11"/>
      <c r="F93" s="11">
        <f ca="1">IF(D93="","",(EXP(((LN((D93/(100-D93))))-B50)/B51)))</f>
        <v>3.8964970373301626</v>
      </c>
      <c r="G93" s="11">
        <f t="shared" ca="1" si="11"/>
        <v>19.781854000269689</v>
      </c>
      <c r="H93" s="50" t="str">
        <f ca="1">IF(I176=C93,I93,"")</f>
        <v/>
      </c>
      <c r="I93" s="52">
        <f t="shared" ca="1" si="12"/>
        <v>3.9</v>
      </c>
      <c r="J93" s="52"/>
      <c r="K93" s="52"/>
      <c r="L93" s="52"/>
      <c r="M93" s="52"/>
      <c r="N93" s="52"/>
      <c r="O93" s="52"/>
      <c r="P93" s="52"/>
      <c r="Q93" s="52"/>
      <c r="R93" s="52"/>
      <c r="S93" s="52"/>
      <c r="T93" s="52"/>
      <c r="U93" s="52"/>
      <c r="V93" s="52"/>
    </row>
    <row r="94" spans="1:22" x14ac:dyDescent="0.3">
      <c r="A94" s="11">
        <f ca="1">'FALL 3'!A94</f>
        <v>54.990009558994942</v>
      </c>
      <c r="B94" s="11">
        <f ca="1">'FALL 3'!B94</f>
        <v>19.716125294376258</v>
      </c>
      <c r="C94" s="11">
        <f>'FALL 3'!C94</f>
        <v>21</v>
      </c>
      <c r="D94" s="11">
        <f ca="1">IF(C94=0,"",(B94*0.01*(L37-L38)+L38))</f>
        <v>20.321802698626335</v>
      </c>
      <c r="E94" s="11"/>
      <c r="F94" s="11">
        <f ca="1">IF(D94="","",(EXP(((LN((D94/(100-D94))))-B50)/B51)))</f>
        <v>3.9527670939345274</v>
      </c>
      <c r="G94" s="11">
        <f t="shared" ca="1" si="11"/>
        <v>20.321802698626335</v>
      </c>
      <c r="H94" s="50" t="str">
        <f ca="1">IF(I176=C94,I94,"")</f>
        <v/>
      </c>
      <c r="I94" s="52">
        <f t="shared" ca="1" si="12"/>
        <v>4</v>
      </c>
      <c r="J94" s="52"/>
      <c r="K94" s="52"/>
      <c r="L94" s="52"/>
      <c r="M94" s="52"/>
      <c r="N94" s="52"/>
      <c r="O94" s="52"/>
      <c r="P94" s="52"/>
      <c r="Q94" s="52"/>
      <c r="R94" s="52"/>
      <c r="S94" s="52"/>
      <c r="T94" s="52"/>
      <c r="U94" s="52"/>
      <c r="V94" s="52"/>
    </row>
    <row r="95" spans="1:22" x14ac:dyDescent="0.3">
      <c r="A95" s="11">
        <f ca="1">'FALL 3'!A95</f>
        <v>42.527251835919955</v>
      </c>
      <c r="B95" s="11">
        <f ca="1">'FALL 3'!B95</f>
        <v>20.069201538126915</v>
      </c>
      <c r="C95" s="11">
        <f>'FALL 3'!C95</f>
        <v>22</v>
      </c>
      <c r="D95" s="11">
        <f ca="1">IF(C95=0,"",(B95*0.01*(L37-L38)+L38))</f>
        <v>20.667817418549674</v>
      </c>
      <c r="E95" s="11"/>
      <c r="F95" s="11">
        <f ca="1">IF(D95="","",(EXP(((LN((D95/(100-D95))))-B50)/B51)))</f>
        <v>3.988659590286217</v>
      </c>
      <c r="G95" s="11">
        <f t="shared" ca="1" si="11"/>
        <v>20.667817418549674</v>
      </c>
      <c r="H95" s="50" t="str">
        <f ca="1">IF(I176=C95,I95,"")</f>
        <v/>
      </c>
      <c r="I95" s="52">
        <f t="shared" ca="1" si="12"/>
        <v>4</v>
      </c>
      <c r="J95" s="52"/>
      <c r="K95" s="52"/>
      <c r="L95" s="52"/>
      <c r="M95" s="52"/>
      <c r="N95" s="52"/>
      <c r="O95" s="52"/>
      <c r="P95" s="52"/>
      <c r="Q95" s="52"/>
      <c r="R95" s="52"/>
      <c r="S95" s="52"/>
      <c r="T95" s="52"/>
      <c r="U95" s="52"/>
      <c r="V95" s="52"/>
    </row>
    <row r="96" spans="1:22" x14ac:dyDescent="0.3">
      <c r="A96" s="11">
        <f ca="1">'FALL 3'!A96</f>
        <v>29.016184708225413</v>
      </c>
      <c r="B96" s="11">
        <f ca="1">'FALL 3'!B96</f>
        <v>20.477118628301223</v>
      </c>
      <c r="C96" s="11">
        <f>'FALL 3'!C96</f>
        <v>23</v>
      </c>
      <c r="D96" s="11">
        <f ca="1">IF(C96=0,"",(B96*0.01*(L37-L38)+L38))</f>
        <v>21.067576168130923</v>
      </c>
      <c r="E96" s="11"/>
      <c r="F96" s="11">
        <f ca="1">IF(D96="","",(EXP(((LN((D96/(100-D96))))-B50)/B51)))</f>
        <v>4.029975901205832</v>
      </c>
      <c r="G96" s="11">
        <f t="shared" ca="1" si="11"/>
        <v>21.067576168130923</v>
      </c>
      <c r="H96" s="50" t="str">
        <f>IF(I1976=C96,I96,"")</f>
        <v/>
      </c>
      <c r="I96" s="52">
        <f t="shared" ca="1" si="12"/>
        <v>4</v>
      </c>
      <c r="J96" s="52"/>
      <c r="K96" s="52"/>
      <c r="L96" s="52"/>
      <c r="M96" s="52"/>
      <c r="N96" s="52"/>
      <c r="O96" s="52"/>
      <c r="P96" s="52"/>
      <c r="Q96" s="52"/>
      <c r="R96" s="52"/>
      <c r="S96" s="52"/>
      <c r="T96" s="52"/>
      <c r="U96" s="52"/>
      <c r="V96" s="52"/>
    </row>
    <row r="97" spans="1:22" x14ac:dyDescent="0.3">
      <c r="A97" s="11">
        <f ca="1">'FALL 3'!A97</f>
        <v>75.433313687716009</v>
      </c>
      <c r="B97" s="11">
        <f ca="1">'FALL 3'!B97</f>
        <v>21.722597038799464</v>
      </c>
      <c r="C97" s="11">
        <f>'FALL 3'!C97</f>
        <v>24</v>
      </c>
      <c r="D97" s="11">
        <f ca="1">IF(C97=0,"",(B97*0.01*(L37-L38)+L38))</f>
        <v>22.288145014114949</v>
      </c>
      <c r="E97" s="11"/>
      <c r="F97" s="11">
        <f ca="1">IF(D97="","",(EXP(((LN((D97/(100-D97))))-B50)/B51)))</f>
        <v>4.1552304193491132</v>
      </c>
      <c r="G97" s="11">
        <f t="shared" ca="1" si="11"/>
        <v>22.288145014114949</v>
      </c>
      <c r="H97" s="50" t="str">
        <f ca="1">IF(I176=C97,I97,"")</f>
        <v/>
      </c>
      <c r="I97" s="52">
        <f t="shared" ca="1" si="12"/>
        <v>4.2</v>
      </c>
      <c r="J97" s="52"/>
      <c r="K97" s="52"/>
      <c r="L97" s="52"/>
      <c r="M97" s="52"/>
      <c r="N97" s="52"/>
      <c r="O97" s="52"/>
      <c r="P97" s="52"/>
      <c r="Q97" s="52"/>
      <c r="R97" s="52"/>
      <c r="S97" s="52"/>
      <c r="T97" s="52"/>
      <c r="U97" s="52"/>
      <c r="V97" s="52"/>
    </row>
    <row r="98" spans="1:22" x14ac:dyDescent="0.3">
      <c r="A98" s="11">
        <f ca="1">'FALL 3'!A98</f>
        <v>29.972532191020719</v>
      </c>
      <c r="B98" s="11">
        <f ca="1">'FALL 3'!B98</f>
        <v>21.832727086753366</v>
      </c>
      <c r="C98" s="11">
        <f>'FALL 3'!C98</f>
        <v>25</v>
      </c>
      <c r="D98" s="11">
        <f ca="1">IF(C98=0,"",(B98*0.01*(L37-L38)+L38))</f>
        <v>22.396072461436567</v>
      </c>
      <c r="E98" s="11"/>
      <c r="F98" s="11">
        <f ca="1">IF(D98="","",(EXP(((LN((D98/(100-D98))))-B50)/B51)))</f>
        <v>4.1662475268314143</v>
      </c>
      <c r="G98" s="11">
        <f t="shared" ca="1" si="11"/>
        <v>22.396072461436567</v>
      </c>
      <c r="H98" s="50" t="str">
        <f ca="1">IF(I176=C98,I98,"")</f>
        <v/>
      </c>
      <c r="I98" s="52">
        <f t="shared" ca="1" si="12"/>
        <v>4.2</v>
      </c>
      <c r="J98" s="52"/>
      <c r="K98" s="52"/>
      <c r="L98" s="52"/>
      <c r="M98" s="52"/>
      <c r="N98" s="52"/>
      <c r="O98" s="52"/>
      <c r="P98" s="52"/>
      <c r="Q98" s="52"/>
      <c r="R98" s="52"/>
      <c r="S98" s="52"/>
      <c r="T98" s="52"/>
      <c r="U98" s="52"/>
      <c r="V98" s="52"/>
    </row>
    <row r="99" spans="1:22" x14ac:dyDescent="0.3">
      <c r="A99" s="11">
        <f ca="1">'FALL 3'!A99</f>
        <v>98.808316937464056</v>
      </c>
      <c r="B99" s="11">
        <f ca="1">'FALL 3'!B99</f>
        <v>22.363985131911313</v>
      </c>
      <c r="C99" s="11">
        <f>'FALL 3'!C99</f>
        <v>26</v>
      </c>
      <c r="D99" s="11">
        <f ca="1">IF(C99=0,"",(B99*0.01*(L37-L38)+L38))</f>
        <v>22.916705347267776</v>
      </c>
      <c r="E99" s="11"/>
      <c r="F99" s="11">
        <f ca="1">IF(D99="","",(EXP(((LN((D99/(100-D99))))-B50)/B51)))</f>
        <v>4.2192749476629734</v>
      </c>
      <c r="G99" s="11">
        <f t="shared" ca="1" si="11"/>
        <v>22.916705347267776</v>
      </c>
      <c r="H99" s="50" t="str">
        <f ca="1">IF(I176=C99,I99,"")</f>
        <v/>
      </c>
      <c r="I99" s="52">
        <f t="shared" ca="1" si="12"/>
        <v>4.2</v>
      </c>
      <c r="J99" s="52"/>
      <c r="K99" s="52"/>
      <c r="L99" s="52"/>
      <c r="M99" s="52"/>
      <c r="N99" s="52"/>
      <c r="O99" s="52"/>
      <c r="P99" s="52"/>
      <c r="Q99" s="52"/>
      <c r="R99" s="52"/>
      <c r="S99" s="52"/>
      <c r="T99" s="52"/>
      <c r="U99" s="52"/>
      <c r="V99" s="52"/>
    </row>
    <row r="100" spans="1:22" x14ac:dyDescent="0.3">
      <c r="A100" s="11">
        <f ca="1">'FALL 3'!A100</f>
        <v>57.231159567227657</v>
      </c>
      <c r="B100" s="11">
        <f ca="1">'FALL 3'!B100</f>
        <v>22.402120716537858</v>
      </c>
      <c r="C100" s="11">
        <f>'FALL 3'!C100</f>
        <v>27</v>
      </c>
      <c r="D100" s="11">
        <f ca="1">IF(C100=0,"",(B100*0.01*(L37-L38)+L38))</f>
        <v>22.954078220314951</v>
      </c>
      <c r="E100" s="11"/>
      <c r="F100" s="11">
        <f ca="1">IF(D100="","",(EXP(((LN((D100/(100-D100))))-B50)/B51)))</f>
        <v>4.2230742447719045</v>
      </c>
      <c r="G100" s="11">
        <f t="shared" ca="1" si="11"/>
        <v>22.954078220314951</v>
      </c>
      <c r="H100" s="50" t="str">
        <f ca="1">IF(I176=C100,I100,"")</f>
        <v/>
      </c>
      <c r="I100" s="52">
        <f t="shared" ca="1" si="12"/>
        <v>4.2</v>
      </c>
      <c r="J100" s="52"/>
      <c r="K100" s="52"/>
      <c r="L100" s="52"/>
      <c r="M100" s="52"/>
      <c r="N100" s="52"/>
      <c r="O100" s="52"/>
      <c r="P100" s="52"/>
      <c r="Q100" s="52"/>
      <c r="R100" s="52"/>
      <c r="S100" s="52"/>
      <c r="T100" s="52"/>
      <c r="U100" s="52"/>
      <c r="V100" s="52"/>
    </row>
    <row r="101" spans="1:22" x14ac:dyDescent="0.3">
      <c r="A101" s="11">
        <f ca="1">'FALL 3'!A101</f>
        <v>14.787882301540993</v>
      </c>
      <c r="B101" s="11">
        <f ca="1">'FALL 3'!B101</f>
        <v>22.66610817703523</v>
      </c>
      <c r="C101" s="11">
        <f>'FALL 3'!C101</f>
        <v>28</v>
      </c>
      <c r="D101" s="11">
        <f ca="1">IF(C101=0,"",(B101*0.01*(L37-L38)+L38))</f>
        <v>23.212785932385714</v>
      </c>
      <c r="E101" s="11"/>
      <c r="F101" s="11">
        <f ca="1">IF(D101="","",(EXP(((LN((D101/(100-D101))))-B50)/B51)))</f>
        <v>4.2493492919964213</v>
      </c>
      <c r="G101" s="11">
        <f t="shared" ca="1" si="11"/>
        <v>23.212785932385714</v>
      </c>
      <c r="H101" s="50" t="str">
        <f ca="1">IF(I176=C101,I101,"")</f>
        <v/>
      </c>
      <c r="I101" s="52">
        <f t="shared" ca="1" si="12"/>
        <v>4.2</v>
      </c>
      <c r="J101" s="52"/>
      <c r="K101" s="52"/>
      <c r="L101" s="52"/>
      <c r="M101" s="52"/>
      <c r="N101" s="52"/>
      <c r="O101" s="52"/>
      <c r="P101" s="52"/>
      <c r="Q101" s="52"/>
      <c r="R101" s="52"/>
      <c r="S101" s="52"/>
      <c r="T101" s="52"/>
      <c r="U101" s="52"/>
      <c r="V101" s="52"/>
    </row>
    <row r="102" spans="1:22" x14ac:dyDescent="0.3">
      <c r="A102" s="11">
        <f ca="1">'FALL 3'!A102</f>
        <v>40.887985740747538</v>
      </c>
      <c r="B102" s="11">
        <f ca="1">'FALL 3'!B102</f>
        <v>22.798403487660405</v>
      </c>
      <c r="C102" s="11">
        <f>'FALL 3'!C102</f>
        <v>29</v>
      </c>
      <c r="D102" s="11">
        <f ca="1">IF(C102=0,"",(B102*0.01*(L37-L38)+L38))</f>
        <v>23.342435337190949</v>
      </c>
      <c r="E102" s="11"/>
      <c r="F102" s="11">
        <f ca="1">IF(D102="","",(EXP(((LN((D102/(100-D102))))-B50)/B51)))</f>
        <v>4.2625009065264869</v>
      </c>
      <c r="G102" s="11">
        <f t="shared" ca="1" si="11"/>
        <v>23.342435337190949</v>
      </c>
      <c r="H102" s="50" t="str">
        <f ca="1">IF(I176=C102,I102,"")</f>
        <v/>
      </c>
      <c r="I102" s="52">
        <f t="shared" ca="1" si="12"/>
        <v>4.3</v>
      </c>
      <c r="J102" s="52"/>
      <c r="K102" s="52"/>
      <c r="L102" s="52"/>
      <c r="M102" s="52"/>
      <c r="N102" s="52"/>
      <c r="O102" s="52"/>
      <c r="P102" s="52"/>
      <c r="Q102" s="52"/>
      <c r="R102" s="52"/>
      <c r="S102" s="52"/>
      <c r="T102" s="52"/>
      <c r="U102" s="52"/>
      <c r="V102" s="52"/>
    </row>
    <row r="103" spans="1:22" x14ac:dyDescent="0.3">
      <c r="A103" s="11">
        <f ca="1">'FALL 3'!A103</f>
        <v>88.960234235886745</v>
      </c>
      <c r="B103" s="11">
        <f ca="1">'FALL 3'!B103</f>
        <v>22.988763705825928</v>
      </c>
      <c r="C103" s="11">
        <f>'FALL 3'!C103</f>
        <v>30</v>
      </c>
      <c r="D103" s="11">
        <f ca="1">IF(C103=0,"",(B103*0.01*(L37-L38)+L38))</f>
        <v>23.528988351558027</v>
      </c>
      <c r="E103" s="11"/>
      <c r="F103" s="11">
        <f ca="1">IF(D103="","",(EXP(((LN((D103/(100-D103))))-B50)/B51)))</f>
        <v>4.2814069249063014</v>
      </c>
      <c r="G103" s="11">
        <f t="shared" ca="1" si="11"/>
        <v>23.528988351558027</v>
      </c>
      <c r="H103" s="50" t="str">
        <f ca="1">IF(I176=C103,I103,"")</f>
        <v/>
      </c>
      <c r="I103" s="52">
        <f t="shared" ca="1" si="12"/>
        <v>4.3</v>
      </c>
      <c r="J103" s="52"/>
      <c r="K103" s="52"/>
      <c r="L103" s="52"/>
      <c r="M103" s="52"/>
      <c r="N103" s="52"/>
      <c r="O103" s="52"/>
      <c r="P103" s="52"/>
      <c r="Q103" s="52"/>
      <c r="R103" s="52"/>
      <c r="S103" s="52"/>
      <c r="T103" s="52"/>
      <c r="U103" s="52"/>
      <c r="V103" s="52"/>
    </row>
    <row r="104" spans="1:22" x14ac:dyDescent="0.3">
      <c r="A104" s="11">
        <f ca="1">'FALL 3'!A104</f>
        <v>45.47883392341403</v>
      </c>
      <c r="B104" s="11">
        <f ca="1">'FALL 3'!B104</f>
        <v>24.222389089655788</v>
      </c>
      <c r="C104" s="11">
        <f>'FALL 3'!C104</f>
        <v>31</v>
      </c>
      <c r="D104" s="11">
        <f ca="1">IF(C104=0,"",(B104*0.01*(L37-L38)+L38))</f>
        <v>24.737941231371867</v>
      </c>
      <c r="E104" s="11"/>
      <c r="F104" s="11">
        <f ca="1">IF(D104="","",(EXP(((LN((D104/(100-D104))))-B50)/B51)))</f>
        <v>4.4034716820678597</v>
      </c>
      <c r="G104" s="11">
        <f t="shared" ca="1" si="11"/>
        <v>24.737941231371867</v>
      </c>
      <c r="H104" s="50" t="str">
        <f ca="1">IF(I176=C104,I104,"")</f>
        <v/>
      </c>
      <c r="I104" s="52">
        <f t="shared" ca="1" si="12"/>
        <v>4.4000000000000004</v>
      </c>
      <c r="J104" s="52"/>
      <c r="K104" s="52"/>
      <c r="L104" s="52"/>
      <c r="M104" s="52"/>
      <c r="N104" s="52"/>
      <c r="O104" s="52"/>
      <c r="P104" s="52"/>
      <c r="Q104" s="52"/>
      <c r="R104" s="52"/>
      <c r="S104" s="52"/>
      <c r="T104" s="52"/>
      <c r="U104" s="52"/>
      <c r="V104" s="52"/>
    </row>
    <row r="105" spans="1:22" x14ac:dyDescent="0.3">
      <c r="A105" s="11">
        <f ca="1">'FALL 3'!A105</f>
        <v>10.913854291659938</v>
      </c>
      <c r="B105" s="11">
        <f ca="1">'FALL 3'!B105</f>
        <v>26.935136806361843</v>
      </c>
      <c r="C105" s="11">
        <f>'FALL 3'!C105</f>
        <v>32</v>
      </c>
      <c r="D105" s="11">
        <f ca="1">IF(C105=0,"",(B105*0.01*(L37-L38)+L38))</f>
        <v>27.39643400179343</v>
      </c>
      <c r="E105" s="11"/>
      <c r="F105" s="11">
        <f ca="1">IF(D105="","",(EXP(((LN((D105/(100-D105))))-B50)/B51)))</f>
        <v>4.6699650234535639</v>
      </c>
      <c r="G105" s="11">
        <f t="shared" ca="1" si="11"/>
        <v>27.39643400179343</v>
      </c>
      <c r="H105" s="50" t="str">
        <f>IF(I2176=C105,I105,"")</f>
        <v/>
      </c>
      <c r="I105" s="52">
        <f t="shared" ca="1" si="12"/>
        <v>4.7</v>
      </c>
      <c r="J105" s="52"/>
      <c r="K105" s="52"/>
      <c r="L105" s="52"/>
      <c r="M105" s="52"/>
      <c r="N105" s="52"/>
      <c r="O105" s="52"/>
      <c r="P105" s="52"/>
      <c r="Q105" s="52"/>
      <c r="R105" s="52"/>
      <c r="S105" s="52"/>
      <c r="T105" s="52"/>
      <c r="U105" s="52"/>
      <c r="V105" s="52"/>
    </row>
    <row r="106" spans="1:22" x14ac:dyDescent="0.3">
      <c r="A106" s="11">
        <f ca="1">'FALL 3'!A106</f>
        <v>18.068569221852552</v>
      </c>
      <c r="B106" s="11">
        <f ca="1">'FALL 3'!B106</f>
        <v>28.040272016733912</v>
      </c>
      <c r="C106" s="11">
        <f>'FALL 3'!C106</f>
        <v>33</v>
      </c>
      <c r="D106" s="11">
        <f ca="1">IF(C106=0,"",(B106*0.01*(L37-L38)+L38))</f>
        <v>28.479466511237369</v>
      </c>
      <c r="E106" s="11"/>
      <c r="F106" s="11">
        <f ca="1">IF(D106="","",(EXP(((LN((D106/(100-D106))))-B50)/B51)))</f>
        <v>4.7781463747419606</v>
      </c>
      <c r="G106" s="11">
        <f t="shared" ref="G106:G137" ca="1" si="13">D106</f>
        <v>28.479466511237369</v>
      </c>
      <c r="H106" s="50" t="str">
        <f ca="1">IF(I176=C106,I106,"")</f>
        <v/>
      </c>
      <c r="I106" s="52">
        <f t="shared" ca="1" si="12"/>
        <v>4.8</v>
      </c>
      <c r="J106" s="52"/>
      <c r="K106" s="52"/>
      <c r="L106" s="52"/>
      <c r="M106" s="52"/>
      <c r="N106" s="52"/>
      <c r="O106" s="52"/>
      <c r="P106" s="52"/>
      <c r="Q106" s="52"/>
      <c r="R106" s="52"/>
      <c r="S106" s="52"/>
      <c r="T106" s="52"/>
      <c r="U106" s="52"/>
      <c r="V106" s="52"/>
    </row>
    <row r="107" spans="1:22" x14ac:dyDescent="0.3">
      <c r="A107" s="11">
        <f ca="1">'FALL 3'!A107</f>
        <v>58.464920340926298</v>
      </c>
      <c r="B107" s="11">
        <f ca="1">'FALL 3'!B107</f>
        <v>29.016184708225413</v>
      </c>
      <c r="C107" s="11">
        <f>'FALL 3'!C107</f>
        <v>34</v>
      </c>
      <c r="D107" s="11">
        <f ca="1">IF(C107=0,"",(B107*0.01*(L37-L38)+L38))</f>
        <v>29.435860951794897</v>
      </c>
      <c r="E107" s="11"/>
      <c r="F107" s="11">
        <f ca="1">IF(D107="","",(EXP(((LN((D107/(100-D107))))-B50)/B51)))</f>
        <v>4.8736510896999867</v>
      </c>
      <c r="G107" s="11">
        <f t="shared" ca="1" si="13"/>
        <v>29.435860951794897</v>
      </c>
      <c r="H107" s="50" t="str">
        <f ca="1">IF(I176=C107,I107,"")</f>
        <v/>
      </c>
      <c r="I107" s="52">
        <f t="shared" ca="1" si="12"/>
        <v>4.9000000000000004</v>
      </c>
      <c r="J107" s="52"/>
      <c r="K107" s="52"/>
      <c r="L107" s="52"/>
      <c r="M107" s="52"/>
      <c r="N107" s="52"/>
      <c r="O107" s="52"/>
      <c r="P107" s="52"/>
      <c r="Q107" s="52"/>
      <c r="R107" s="52"/>
      <c r="S107" s="52"/>
      <c r="T107" s="52"/>
      <c r="U107" s="52"/>
      <c r="V107" s="52"/>
    </row>
    <row r="108" spans="1:22" x14ac:dyDescent="0.3">
      <c r="A108" s="11">
        <f ca="1">'FALL 3'!A108</f>
        <v>55.921474171140048</v>
      </c>
      <c r="B108" s="11">
        <f ca="1">'FALL 3'!B108</f>
        <v>29.972532191020719</v>
      </c>
      <c r="C108" s="11">
        <f>'FALL 3'!C108</f>
        <v>35</v>
      </c>
      <c r="D108" s="11">
        <f ca="1">IF(C108=0,"",(B108*0.01*(L37-L38)+L38))</f>
        <v>30.373081487772101</v>
      </c>
      <c r="E108" s="11"/>
      <c r="F108" s="11">
        <f ca="1">IF(D108="","",(EXP(((LN((D108/(100-D108))))-B50)/B51)))</f>
        <v>4.9673017402089616</v>
      </c>
      <c r="G108" s="11">
        <f t="shared" ca="1" si="13"/>
        <v>30.373081487772101</v>
      </c>
      <c r="H108" s="50" t="str">
        <f ca="1">IF(I176=C108,I108,"")</f>
        <v/>
      </c>
      <c r="I108" s="52">
        <f t="shared" ca="1" si="12"/>
        <v>5</v>
      </c>
      <c r="J108" s="52"/>
      <c r="K108" s="52"/>
      <c r="L108" s="52"/>
      <c r="M108" s="52"/>
      <c r="N108" s="52"/>
      <c r="O108" s="52"/>
      <c r="P108" s="52"/>
      <c r="Q108" s="52"/>
      <c r="R108" s="52"/>
      <c r="S108" s="52"/>
      <c r="T108" s="52"/>
      <c r="U108" s="52"/>
      <c r="V108" s="52"/>
    </row>
    <row r="109" spans="1:22" x14ac:dyDescent="0.3">
      <c r="A109" s="11">
        <f ca="1">'FALL 3'!A109</f>
        <v>82.652071906329411</v>
      </c>
      <c r="B109" s="11">
        <f ca="1">'FALL 3'!B109</f>
        <v>30.123378148520377</v>
      </c>
      <c r="C109" s="11">
        <f>'FALL 3'!C109</f>
        <v>36</v>
      </c>
      <c r="D109" s="11">
        <f ca="1">IF(C109=0,"",(B109*0.01*(L37-L38)+L38))</f>
        <v>30.520910526569377</v>
      </c>
      <c r="E109" s="11"/>
      <c r="F109" s="11">
        <f ca="1">IF(D109="","",(EXP(((LN((D109/(100-D109))))-B50)/B51)))</f>
        <v>4.9820839906027103</v>
      </c>
      <c r="G109" s="11">
        <f t="shared" ca="1" si="13"/>
        <v>30.520910526569377</v>
      </c>
      <c r="H109" s="50" t="str">
        <f ca="1">IF(I176=C109,I109,"")</f>
        <v/>
      </c>
      <c r="I109" s="52">
        <f t="shared" ca="1" si="12"/>
        <v>5</v>
      </c>
      <c r="J109" s="52"/>
      <c r="K109" s="52"/>
      <c r="L109" s="52"/>
      <c r="M109" s="52"/>
      <c r="N109" s="52"/>
      <c r="O109" s="52"/>
      <c r="P109" s="52"/>
      <c r="Q109" s="52"/>
      <c r="R109" s="52"/>
      <c r="S109" s="52"/>
      <c r="T109" s="52"/>
      <c r="U109" s="52"/>
      <c r="V109" s="52"/>
    </row>
    <row r="110" spans="1:22" x14ac:dyDescent="0.3">
      <c r="A110" s="11">
        <f ca="1">'FALL 3'!A110</f>
        <v>78.113730407507262</v>
      </c>
      <c r="B110" s="11">
        <f ca="1">'FALL 3'!B110</f>
        <v>30.392788314351847</v>
      </c>
      <c r="C110" s="11">
        <f>'FALL 3'!C110</f>
        <v>37</v>
      </c>
      <c r="D110" s="11">
        <f ca="1">IF(C110=0,"",(B110*0.01*(L37-L38)+L38))</f>
        <v>30.784932489883648</v>
      </c>
      <c r="E110" s="11"/>
      <c r="F110" s="11">
        <f ca="1">IF(D110="","",(EXP(((LN((D110/(100-D110))))-B50)/B51)))</f>
        <v>5.0084944655189441</v>
      </c>
      <c r="G110" s="11">
        <f t="shared" ca="1" si="13"/>
        <v>30.784932489883648</v>
      </c>
      <c r="H110" s="50" t="str">
        <f ca="1">IF(I176=C110,I110,"")</f>
        <v/>
      </c>
      <c r="I110" s="52">
        <f t="shared" ca="1" si="12"/>
        <v>5</v>
      </c>
      <c r="J110" s="52"/>
      <c r="K110" s="52"/>
      <c r="L110" s="52"/>
      <c r="M110" s="52"/>
      <c r="N110" s="52"/>
      <c r="O110" s="52"/>
      <c r="P110" s="52"/>
      <c r="Q110" s="52"/>
      <c r="R110" s="52"/>
      <c r="S110" s="52"/>
      <c r="T110" s="52"/>
      <c r="U110" s="52"/>
      <c r="V110" s="52"/>
    </row>
    <row r="111" spans="1:22" x14ac:dyDescent="0.3">
      <c r="A111" s="11">
        <f ca="1">'FALL 3'!A111</f>
        <v>67.554798364905551</v>
      </c>
      <c r="B111" s="11">
        <f ca="1">'FALL 3'!B111</f>
        <v>30.928527190486321</v>
      </c>
      <c r="C111" s="11">
        <f>'FALL 3'!C111</f>
        <v>38</v>
      </c>
      <c r="D111" s="11">
        <f ca="1">IF(C111=0,"",(B111*0.01*(L37-L38)+L38))</f>
        <v>31.309956590085147</v>
      </c>
      <c r="E111" s="11"/>
      <c r="F111" s="11">
        <f ca="1">IF(D111="","",(EXP(((LN((D111/(100-D111))))-B50)/B51)))</f>
        <v>5.0610552037548002</v>
      </c>
      <c r="G111" s="11">
        <f t="shared" ca="1" si="13"/>
        <v>31.309956590085147</v>
      </c>
      <c r="H111" s="50" t="str">
        <f ca="1">IF(I176=C111,I111,"")</f>
        <v/>
      </c>
      <c r="I111" s="52">
        <f t="shared" ca="1" si="12"/>
        <v>5.0999999999999996</v>
      </c>
      <c r="J111" s="52"/>
      <c r="K111" s="52"/>
      <c r="L111" s="52"/>
      <c r="M111" s="52"/>
      <c r="N111" s="52"/>
      <c r="O111" s="52"/>
      <c r="P111" s="52"/>
      <c r="Q111" s="52"/>
      <c r="R111" s="52"/>
      <c r="S111" s="52"/>
      <c r="T111" s="52"/>
      <c r="U111" s="52"/>
      <c r="V111" s="52"/>
    </row>
    <row r="112" spans="1:22" x14ac:dyDescent="0.3">
      <c r="A112" s="11">
        <f ca="1">'FALL 3'!A112</f>
        <v>24.222389089655788</v>
      </c>
      <c r="B112" s="11">
        <f ca="1">'FALL 3'!B112</f>
        <v>33.284811034336883</v>
      </c>
      <c r="C112" s="11">
        <f>'FALL 3'!C112</f>
        <v>39</v>
      </c>
      <c r="D112" s="11">
        <f ca="1">IF(C112=0,"",(B112*0.01*(L37-L38)+L38))</f>
        <v>33.619114764050586</v>
      </c>
      <c r="E112" s="11"/>
      <c r="F112" s="11">
        <f ca="1">IF(D112="","",(EXP(((LN((D112/(100-D112))))-B50)/B51)))</f>
        <v>5.2931900216535288</v>
      </c>
      <c r="G112" s="11">
        <f t="shared" ca="1" si="13"/>
        <v>33.619114764050586</v>
      </c>
      <c r="H112" s="50" t="str">
        <f ca="1">IF(I176=C112,I112,"")</f>
        <v/>
      </c>
      <c r="I112" s="52">
        <f t="shared" ca="1" si="12"/>
        <v>5.3</v>
      </c>
      <c r="J112" s="52"/>
      <c r="K112" s="52"/>
      <c r="L112" s="52"/>
      <c r="M112" s="52"/>
      <c r="N112" s="52"/>
      <c r="O112" s="52"/>
      <c r="P112" s="52"/>
      <c r="Q112" s="52"/>
      <c r="R112" s="52"/>
      <c r="S112" s="52"/>
      <c r="T112" s="52"/>
      <c r="U112" s="52"/>
      <c r="V112" s="52"/>
    </row>
    <row r="113" spans="1:22" x14ac:dyDescent="0.3">
      <c r="A113" s="11">
        <f ca="1">'FALL 3'!A113</f>
        <v>22.988763705825928</v>
      </c>
      <c r="B113" s="11">
        <f ca="1">'FALL 3'!B113</f>
        <v>33.68582618215472</v>
      </c>
      <c r="C113" s="11">
        <f>'FALL 3'!C113</f>
        <v>40</v>
      </c>
      <c r="D113" s="11">
        <f ca="1">IF(C113=0,"",(B113*0.01*(L37-L38)+L38))</f>
        <v>34.012109610102009</v>
      </c>
      <c r="E113" s="11"/>
      <c r="F113" s="11">
        <f ca="1">IF(D113="","",(EXP(((LN((D113/(100-D113))))-B50)/B51)))</f>
        <v>5.332903128055106</v>
      </c>
      <c r="G113" s="11">
        <f t="shared" ca="1" si="13"/>
        <v>34.012109610102009</v>
      </c>
      <c r="H113" s="50" t="str">
        <f ca="1">IF(I176=C113,I113,"")</f>
        <v/>
      </c>
      <c r="I113" s="52">
        <f t="shared" ca="1" si="12"/>
        <v>5.3</v>
      </c>
      <c r="J113" s="52"/>
      <c r="K113" s="52"/>
      <c r="L113" s="52"/>
      <c r="M113" s="52"/>
      <c r="N113" s="52"/>
      <c r="O113" s="52"/>
      <c r="P113" s="52"/>
      <c r="Q113" s="52"/>
      <c r="R113" s="52"/>
      <c r="S113" s="52"/>
      <c r="T113" s="52"/>
      <c r="U113" s="52"/>
      <c r="V113" s="52"/>
    </row>
    <row r="114" spans="1:22" x14ac:dyDescent="0.3">
      <c r="A114" s="11">
        <f ca="1">'FALL 3'!A114</f>
        <v>33.284811034336883</v>
      </c>
      <c r="B114" s="11">
        <f ca="1">'FALL 3'!B114</f>
        <v>33.716555255162135</v>
      </c>
      <c r="C114" s="11">
        <f>'FALL 3'!C114</f>
        <v>41</v>
      </c>
      <c r="D114" s="11">
        <f ca="1">IF(C114=0,"",(B114*0.01*(L37-L38)+L38))</f>
        <v>34.042224101740459</v>
      </c>
      <c r="E114" s="11"/>
      <c r="F114" s="11">
        <f ca="1">IF(D114="","",(EXP(((LN((D114/(100-D114))))-B50)/B51)))</f>
        <v>5.3359492471385632</v>
      </c>
      <c r="G114" s="11">
        <f t="shared" ca="1" si="13"/>
        <v>34.042224101740459</v>
      </c>
      <c r="H114" s="50" t="str">
        <f ca="1">IF(I176=C114,I114,"")</f>
        <v/>
      </c>
      <c r="I114" s="52">
        <f t="shared" ca="1" si="12"/>
        <v>5.3</v>
      </c>
      <c r="J114" s="52"/>
      <c r="K114" s="52"/>
      <c r="L114" s="52"/>
      <c r="M114" s="52"/>
      <c r="N114" s="52"/>
      <c r="O114" s="52"/>
      <c r="P114" s="52"/>
      <c r="Q114" s="52"/>
      <c r="R114" s="52"/>
      <c r="S114" s="52"/>
      <c r="T114" s="52"/>
      <c r="U114" s="52"/>
      <c r="V114" s="52"/>
    </row>
    <row r="115" spans="1:22" x14ac:dyDescent="0.3">
      <c r="A115" s="11">
        <f ca="1">'FALL 3'!A115</f>
        <v>42.64756325440645</v>
      </c>
      <c r="B115" s="11">
        <f ca="1">'FALL 3'!B115</f>
        <v>34.688641730273304</v>
      </c>
      <c r="C115" s="11">
        <f>'FALL 3'!C115</f>
        <v>42</v>
      </c>
      <c r="D115" s="11">
        <f ca="1">IF(C115=0,"",(B115*0.01*(L37-L38)+L38))</f>
        <v>34.994868850233914</v>
      </c>
      <c r="E115" s="11"/>
      <c r="F115" s="11">
        <f ca="1">IF(D115="","",(EXP(((LN((D115/(100-D115))))-B50)/B51)))</f>
        <v>5.4325474044170639</v>
      </c>
      <c r="G115" s="11">
        <f t="shared" ca="1" si="13"/>
        <v>34.994868850233914</v>
      </c>
      <c r="H115" s="50" t="str">
        <f ca="1">IF(I176=C115,I115,"")</f>
        <v/>
      </c>
      <c r="I115" s="52">
        <f t="shared" ca="1" si="12"/>
        <v>5.4</v>
      </c>
      <c r="J115" s="52"/>
      <c r="K115" s="52"/>
      <c r="L115" s="52"/>
      <c r="M115" s="52"/>
      <c r="N115" s="52"/>
      <c r="O115" s="52"/>
      <c r="P115" s="52"/>
      <c r="Q115" s="52"/>
      <c r="R115" s="52"/>
      <c r="S115" s="52"/>
      <c r="T115" s="52"/>
      <c r="U115" s="52"/>
      <c r="V115" s="52"/>
    </row>
    <row r="116" spans="1:22" x14ac:dyDescent="0.3">
      <c r="A116" s="11">
        <f ca="1">'FALL 3'!A116</f>
        <v>6.0767745995305233</v>
      </c>
      <c r="B116" s="11">
        <f ca="1">'FALL 3'!B116</f>
        <v>38.485894582626536</v>
      </c>
      <c r="C116" s="11">
        <f>'FALL 3'!C116</f>
        <v>43</v>
      </c>
      <c r="D116" s="11">
        <f ca="1">IF(C116=0,"",(B116*0.01*(L37-L38)+L38))</f>
        <v>38.716176656807797</v>
      </c>
      <c r="E116" s="11"/>
      <c r="F116" s="11">
        <f ca="1">IF(D116="","",(EXP(((LN((D116/(100-D116))))-B50)/B51)))</f>
        <v>5.8154507757063545</v>
      </c>
      <c r="G116" s="11">
        <f t="shared" ca="1" si="13"/>
        <v>38.716176656807797</v>
      </c>
      <c r="H116" s="50" t="str">
        <f ca="1">IF(I176=C116,I116,"")</f>
        <v/>
      </c>
      <c r="I116" s="52">
        <f t="shared" ca="1" si="12"/>
        <v>5.8</v>
      </c>
      <c r="J116" s="52"/>
      <c r="K116" s="52"/>
      <c r="L116" s="52"/>
      <c r="M116" s="52"/>
      <c r="N116" s="52"/>
      <c r="O116" s="52"/>
      <c r="P116" s="52"/>
      <c r="Q116" s="52"/>
      <c r="R116" s="52"/>
      <c r="S116" s="52"/>
      <c r="T116" s="52"/>
      <c r="U116" s="52"/>
      <c r="V116" s="52"/>
    </row>
    <row r="117" spans="1:22" x14ac:dyDescent="0.3">
      <c r="A117" s="11">
        <f ca="1">'FALL 3'!A117</f>
        <v>82.170865037115789</v>
      </c>
      <c r="B117" s="11">
        <f ca="1">'FALL 3'!B117</f>
        <v>40.248097189293503</v>
      </c>
      <c r="C117" s="11">
        <f>'FALL 3'!C117</f>
        <v>44</v>
      </c>
      <c r="D117" s="11">
        <f ca="1">IF(C117=0,"",(B117*0.01*(L37-L38)+L38))</f>
        <v>40.443135216570468</v>
      </c>
      <c r="E117" s="11"/>
      <c r="F117" s="11">
        <f ca="1">IF(D117="","",(EXP(((LN((D117/(100-D117))))-B50)/B51)))</f>
        <v>5.9970152892691821</v>
      </c>
      <c r="G117" s="11">
        <f t="shared" ca="1" si="13"/>
        <v>40.443135216570468</v>
      </c>
      <c r="H117" s="50" t="str">
        <f ca="1">IF(I176=C117,I117,"")</f>
        <v/>
      </c>
      <c r="I117" s="52">
        <f t="shared" ca="1" si="12"/>
        <v>6</v>
      </c>
      <c r="J117" s="52"/>
      <c r="K117" s="52"/>
      <c r="L117" s="52"/>
      <c r="M117" s="52"/>
      <c r="N117" s="52"/>
      <c r="O117" s="52"/>
      <c r="P117" s="52"/>
      <c r="Q117" s="52"/>
      <c r="R117" s="52"/>
      <c r="S117" s="52"/>
      <c r="T117" s="52"/>
      <c r="U117" s="52"/>
      <c r="V117" s="52"/>
    </row>
    <row r="118" spans="1:22" x14ac:dyDescent="0.3">
      <c r="A118" s="11">
        <f ca="1">'FALL 3'!A118</f>
        <v>75.343875189459823</v>
      </c>
      <c r="B118" s="11">
        <f ca="1">'FALL 3'!B118</f>
        <v>40.887985740747538</v>
      </c>
      <c r="C118" s="11">
        <f>'FALL 3'!C118</f>
        <v>45</v>
      </c>
      <c r="D118" s="11">
        <f ca="1">IF(C118=0,"",(B118*0.01*(L37-L38)+L38))</f>
        <v>41.070225998894195</v>
      </c>
      <c r="E118" s="11"/>
      <c r="F118" s="11">
        <f ca="1">IF(D118="","",(EXP(((LN((D118/(100-D118))))-B50)/B51)))</f>
        <v>6.0636823817452141</v>
      </c>
      <c r="G118" s="11">
        <f t="shared" ca="1" si="13"/>
        <v>41.070225998894195</v>
      </c>
      <c r="H118" s="50" t="str">
        <f ca="1">IF(I176=C118,I118,"")</f>
        <v/>
      </c>
      <c r="I118" s="52">
        <f t="shared" ca="1" si="12"/>
        <v>6.1</v>
      </c>
      <c r="J118" s="52"/>
      <c r="K118" s="52"/>
      <c r="L118" s="52"/>
      <c r="M118" s="52"/>
      <c r="N118" s="52"/>
      <c r="O118" s="52"/>
      <c r="P118" s="52"/>
      <c r="Q118" s="52"/>
      <c r="R118" s="52"/>
      <c r="S118" s="52"/>
      <c r="T118" s="52"/>
      <c r="U118" s="52"/>
      <c r="V118" s="52"/>
    </row>
    <row r="119" spans="1:22" x14ac:dyDescent="0.3">
      <c r="A119" s="11">
        <f ca="1">'FALL 3'!A119</f>
        <v>69.999571086914443</v>
      </c>
      <c r="B119" s="11">
        <f ca="1">'FALL 3'!B119</f>
        <v>41.943122432623468</v>
      </c>
      <c r="C119" s="11">
        <f>'FALL 3'!C119</f>
        <v>46</v>
      </c>
      <c r="D119" s="11">
        <f ca="1">IF(C119=0,"",(B119*0.01*(L37-L38)+L38))</f>
        <v>42.104259960063544</v>
      </c>
      <c r="E119" s="11"/>
      <c r="F119" s="11">
        <f ca="1">IF(D119="","",(EXP(((LN((D119/(100-D119))))-B50)/B51)))</f>
        <v>6.1745580897920522</v>
      </c>
      <c r="G119" s="11">
        <f t="shared" ca="1" si="13"/>
        <v>42.104259960063544</v>
      </c>
      <c r="H119" s="50">
        <f ca="1">IF(I176=C119,I119,"")</f>
        <v>6.2</v>
      </c>
      <c r="I119" s="52">
        <f t="shared" ca="1" si="12"/>
        <v>6.2</v>
      </c>
      <c r="J119" s="52"/>
      <c r="K119" s="52"/>
      <c r="L119" s="52"/>
      <c r="M119" s="52"/>
      <c r="N119" s="52"/>
      <c r="O119" s="52"/>
      <c r="P119" s="52"/>
      <c r="Q119" s="52"/>
      <c r="R119" s="52"/>
      <c r="S119" s="52"/>
      <c r="T119" s="52"/>
      <c r="U119" s="52"/>
      <c r="V119" s="52"/>
    </row>
    <row r="120" spans="1:22" x14ac:dyDescent="0.3">
      <c r="A120" s="11">
        <f ca="1">'FALL 3'!A120</f>
        <v>46.519875010849667</v>
      </c>
      <c r="B120" s="11">
        <f ca="1">'FALL 3'!B120</f>
        <v>42.527251835919955</v>
      </c>
      <c r="C120" s="11">
        <f>'FALL 3'!C120</f>
        <v>47</v>
      </c>
      <c r="D120" s="11">
        <f ca="1">IF(C120=0,"",(B120*0.01*(L37-L38)+L38))</f>
        <v>42.676706777027412</v>
      </c>
      <c r="E120" s="11"/>
      <c r="F120" s="11">
        <f ca="1">IF(D120="","",(EXP(((LN((D120/(100-D120))))-B50)/B51)))</f>
        <v>6.2364775028577446</v>
      </c>
      <c r="G120" s="11">
        <f t="shared" ca="1" si="13"/>
        <v>42.676706777027412</v>
      </c>
      <c r="H120" s="50" t="str">
        <f ca="1">IF(I176=C120,I120,"")</f>
        <v/>
      </c>
      <c r="I120" s="52">
        <f t="shared" ca="1" si="12"/>
        <v>6.2</v>
      </c>
      <c r="J120" s="52"/>
      <c r="K120" s="52"/>
      <c r="L120" s="52"/>
      <c r="M120" s="52"/>
      <c r="N120" s="52"/>
      <c r="O120" s="52"/>
      <c r="P120" s="52"/>
      <c r="Q120" s="52"/>
      <c r="R120" s="52"/>
      <c r="S120" s="52"/>
      <c r="T120" s="52"/>
      <c r="U120" s="52"/>
      <c r="V120" s="52"/>
    </row>
    <row r="121" spans="1:22" x14ac:dyDescent="0.3">
      <c r="A121" s="11">
        <f ca="1">'FALL 3'!A121</f>
        <v>19.165157236496931</v>
      </c>
      <c r="B121" s="11">
        <f ca="1">'FALL 3'!B121</f>
        <v>42.64756325440645</v>
      </c>
      <c r="C121" s="11">
        <f>'FALL 3'!C121</f>
        <v>48</v>
      </c>
      <c r="D121" s="11">
        <f ca="1">IF(C121=0,"",(B121*0.01*(L37-L38)+L38))</f>
        <v>42.794611967501183</v>
      </c>
      <c r="E121" s="11"/>
      <c r="F121" s="11">
        <f ca="1">IF(D121="","",(EXP(((LN((D121/(100-D121))))-B50)/B51)))</f>
        <v>6.2492806811333361</v>
      </c>
      <c r="G121" s="11">
        <f t="shared" ca="1" si="13"/>
        <v>42.794611967501183</v>
      </c>
      <c r="H121" s="50" t="str">
        <f ca="1">IF(I176=C121,I121,"")</f>
        <v/>
      </c>
      <c r="I121" s="52">
        <f t="shared" ca="1" si="12"/>
        <v>6.2</v>
      </c>
      <c r="J121" s="52"/>
      <c r="K121" s="52"/>
      <c r="L121" s="52"/>
      <c r="M121" s="52"/>
      <c r="N121" s="52"/>
      <c r="O121" s="52"/>
      <c r="P121" s="52"/>
      <c r="Q121" s="52"/>
      <c r="R121" s="52"/>
      <c r="S121" s="52"/>
      <c r="T121" s="52"/>
      <c r="U121" s="52"/>
      <c r="V121" s="52"/>
    </row>
    <row r="122" spans="1:22" x14ac:dyDescent="0.3">
      <c r="A122" s="11">
        <f ca="1">'FALL 3'!A122</f>
        <v>47.174797672067406</v>
      </c>
      <c r="B122" s="11">
        <f ca="1">'FALL 3'!B122</f>
        <v>42.764662812604882</v>
      </c>
      <c r="C122" s="11">
        <f>'FALL 3'!C122</f>
        <v>49</v>
      </c>
      <c r="D122" s="11">
        <f ca="1">IF(C122=0,"",(B122*0.01*(L37-L38)+L38))</f>
        <v>42.909369534883112</v>
      </c>
      <c r="E122" s="11"/>
      <c r="F122" s="11">
        <f ca="1">IF(D122="","",(EXP(((LN((D122/(100-D122))))-B50)/B51)))</f>
        <v>6.2617587459064792</v>
      </c>
      <c r="G122" s="11">
        <f t="shared" ca="1" si="13"/>
        <v>42.909369534883112</v>
      </c>
      <c r="H122" s="50" t="str">
        <f ca="1">IF(I176=C122,I122,"")</f>
        <v/>
      </c>
      <c r="I122" s="52">
        <f t="shared" ca="1" si="12"/>
        <v>6.3</v>
      </c>
      <c r="J122" s="52"/>
      <c r="K122" s="52"/>
      <c r="L122" s="52"/>
      <c r="M122" s="52"/>
      <c r="N122" s="52"/>
      <c r="O122" s="52"/>
      <c r="P122" s="52"/>
      <c r="Q122" s="52"/>
      <c r="R122" s="52"/>
      <c r="S122" s="52"/>
      <c r="T122" s="52"/>
      <c r="U122" s="52"/>
      <c r="V122" s="52"/>
    </row>
    <row r="123" spans="1:22" x14ac:dyDescent="0.3">
      <c r="A123" s="11">
        <f ca="1">'FALL 3'!A123</f>
        <v>5.7089520016855859</v>
      </c>
      <c r="B123" s="11">
        <f ca="1">'FALL 3'!B123</f>
        <v>45.096774778301601</v>
      </c>
      <c r="C123" s="11">
        <f>'FALL 3'!C123</f>
        <v>50</v>
      </c>
      <c r="D123" s="11">
        <f ca="1">IF(C123=0,"",(B123*0.01*(L37-L38)+L38))</f>
        <v>45.194839268186058</v>
      </c>
      <c r="E123" s="11"/>
      <c r="F123" s="11">
        <f ca="1">IF(D123="","",(EXP(((LN((D123/(100-D123))))-B50)/B51)))</f>
        <v>6.5139199748090189</v>
      </c>
      <c r="G123" s="11">
        <f t="shared" ca="1" si="13"/>
        <v>45.194839268186058</v>
      </c>
      <c r="H123" s="50" t="str">
        <f ca="1">IF(I176=C123,I123,"")</f>
        <v/>
      </c>
      <c r="I123" s="52">
        <f t="shared" ca="1" si="12"/>
        <v>6.5</v>
      </c>
      <c r="J123" s="52"/>
      <c r="K123" s="52"/>
      <c r="L123" s="52"/>
      <c r="M123" s="52"/>
      <c r="N123" s="52"/>
      <c r="O123" s="52"/>
      <c r="P123" s="52"/>
      <c r="Q123" s="52"/>
      <c r="R123" s="52"/>
      <c r="S123" s="52"/>
      <c r="T123" s="52"/>
      <c r="U123" s="52"/>
      <c r="V123" s="52"/>
    </row>
    <row r="124" spans="1:22" x14ac:dyDescent="0.3">
      <c r="A124" s="11">
        <f ca="1">'FALL 3'!A124</f>
        <v>82.996098998149179</v>
      </c>
      <c r="B124" s="11">
        <f ca="1">'FALL 3'!B124</f>
        <v>45.131435825901526</v>
      </c>
      <c r="C124" s="11">
        <f>'FALL 3'!C124</f>
        <v>51</v>
      </c>
      <c r="D124" s="11">
        <f ca="1">IF(C124=0,"",(B124*0.01*(L37-L38)+L38))</f>
        <v>45.22880709493684</v>
      </c>
      <c r="E124" s="11"/>
      <c r="F124" s="11">
        <f ca="1">IF(D124="","",(EXP(((LN((D124/(100-D124))))-B50)/B51)))</f>
        <v>6.5177233803516792</v>
      </c>
      <c r="G124" s="11">
        <f t="shared" ca="1" si="13"/>
        <v>45.22880709493684</v>
      </c>
      <c r="H124" s="50" t="str">
        <f ca="1">IF(I176=C124,I124,"")</f>
        <v/>
      </c>
      <c r="I124" s="52">
        <f t="shared" ca="1" si="12"/>
        <v>6.5</v>
      </c>
      <c r="J124" s="52"/>
      <c r="K124" s="52"/>
      <c r="L124" s="52"/>
      <c r="M124" s="52"/>
      <c r="N124" s="52"/>
      <c r="O124" s="52"/>
      <c r="P124" s="52"/>
      <c r="Q124" s="52"/>
      <c r="R124" s="52"/>
      <c r="S124" s="52"/>
      <c r="T124" s="52"/>
      <c r="U124" s="52"/>
      <c r="V124" s="52"/>
    </row>
    <row r="125" spans="1:22" x14ac:dyDescent="0.3">
      <c r="A125" s="11">
        <f ca="1">'FALL 3'!A125</f>
        <v>77.294214300749587</v>
      </c>
      <c r="B125" s="11">
        <f ca="1">'FALL 3'!B125</f>
        <v>45.47883392341403</v>
      </c>
      <c r="C125" s="11">
        <f>'FALL 3'!C125</f>
        <v>52</v>
      </c>
      <c r="D125" s="11">
        <f ca="1">IF(C125=0,"",(B125*0.01*(L37-L38)+L38))</f>
        <v>45.569257231529939</v>
      </c>
      <c r="E125" s="11"/>
      <c r="F125" s="11">
        <f ca="1">IF(D125="","",(EXP(((LN((D125/(100-D125))))-B50)/B51)))</f>
        <v>6.5559397061495153</v>
      </c>
      <c r="G125" s="11">
        <f t="shared" ca="1" si="13"/>
        <v>45.569257231529939</v>
      </c>
      <c r="H125" s="50" t="str">
        <f ca="1">IF(I176=C125,I125,"")</f>
        <v/>
      </c>
      <c r="I125" s="52">
        <f t="shared" ca="1" si="12"/>
        <v>6.6</v>
      </c>
      <c r="J125" s="52"/>
      <c r="K125" s="52"/>
      <c r="L125" s="52"/>
      <c r="M125" s="52"/>
      <c r="N125" s="52"/>
      <c r="O125" s="52"/>
      <c r="P125" s="52"/>
      <c r="Q125" s="52"/>
      <c r="R125" s="52"/>
      <c r="S125" s="52"/>
      <c r="T125" s="52"/>
      <c r="U125" s="52"/>
      <c r="V125" s="52"/>
    </row>
    <row r="126" spans="1:22" x14ac:dyDescent="0.3">
      <c r="A126" s="11">
        <f ca="1">'FALL 3'!A126</f>
        <v>2.3210931377733552</v>
      </c>
      <c r="B126" s="11">
        <f ca="1">'FALL 3'!B126</f>
        <v>45.645021212545792</v>
      </c>
      <c r="C126" s="11">
        <f>'FALL 3'!C126</f>
        <v>53</v>
      </c>
      <c r="D126" s="11">
        <f ca="1">IF(C126=0,"",(B126*0.01*(L37-L38)+L38))</f>
        <v>45.732120775372195</v>
      </c>
      <c r="E126" s="11"/>
      <c r="F126" s="11">
        <f ca="1">IF(D126="","",(EXP(((LN((D126/(100-D126))))-B50)/B51)))</f>
        <v>6.5742839279062331</v>
      </c>
      <c r="G126" s="11">
        <f t="shared" ca="1" si="13"/>
        <v>45.732120775372195</v>
      </c>
      <c r="H126" s="50" t="str">
        <f ca="1">IF(I176=C126,I126,"")</f>
        <v/>
      </c>
      <c r="I126" s="52">
        <f t="shared" ca="1" si="12"/>
        <v>6.6</v>
      </c>
      <c r="J126" s="52"/>
      <c r="K126" s="52"/>
      <c r="L126" s="52"/>
      <c r="M126" s="52"/>
      <c r="N126" s="52"/>
      <c r="O126" s="52"/>
      <c r="P126" s="52"/>
      <c r="Q126" s="52"/>
      <c r="R126" s="52"/>
      <c r="S126" s="52"/>
      <c r="T126" s="52"/>
      <c r="U126" s="52"/>
      <c r="V126" s="52"/>
    </row>
    <row r="127" spans="1:22" x14ac:dyDescent="0.3">
      <c r="A127" s="11">
        <f ca="1">'FALL 3'!A127</f>
        <v>22.66610817703523</v>
      </c>
      <c r="B127" s="11">
        <f ca="1">'FALL 3'!B127</f>
        <v>46.064691747729199</v>
      </c>
      <c r="C127" s="11">
        <f>'FALL 3'!C127</f>
        <v>54</v>
      </c>
      <c r="D127" s="11">
        <f ca="1">IF(C127=0,"",(B127*0.01*(L37-L38)+L38))</f>
        <v>46.143397901097238</v>
      </c>
      <c r="E127" s="11"/>
      <c r="F127" s="11">
        <f ca="1">IF(D127="","",(EXP(((LN((D127/(100-D127))))-B50)/B51)))</f>
        <v>6.6207919512200322</v>
      </c>
      <c r="G127" s="11">
        <f t="shared" ca="1" si="13"/>
        <v>46.143397901097238</v>
      </c>
      <c r="H127" s="50" t="str">
        <f ca="1">IF(I176=C127,I127,"")</f>
        <v/>
      </c>
      <c r="I127" s="52">
        <f t="shared" ca="1" si="12"/>
        <v>6.6</v>
      </c>
      <c r="J127" s="52"/>
      <c r="K127" s="52"/>
      <c r="L127" s="52"/>
      <c r="M127" s="52"/>
      <c r="N127" s="52"/>
      <c r="O127" s="52"/>
      <c r="P127" s="52"/>
      <c r="Q127" s="52"/>
      <c r="R127" s="52"/>
      <c r="S127" s="52"/>
      <c r="T127" s="52"/>
      <c r="U127" s="52"/>
      <c r="V127" s="52"/>
    </row>
    <row r="128" spans="1:22" x14ac:dyDescent="0.3">
      <c r="A128" s="11">
        <f ca="1">'FALL 3'!A128</f>
        <v>64.209943240490091</v>
      </c>
      <c r="B128" s="11">
        <f ca="1">'FALL 3'!B128</f>
        <v>46.519875010849667</v>
      </c>
      <c r="C128" s="11">
        <f>'FALL 3'!C128</f>
        <v>55</v>
      </c>
      <c r="D128" s="11">
        <f ca="1">IF(C128=0,"",(B128*0.01*(L37-L38)+L38))</f>
        <v>46.589477500305975</v>
      </c>
      <c r="E128" s="11"/>
      <c r="F128" s="11">
        <f ca="1">IF(D128="","",(EXP(((LN((D128/(100-D128))))-B50)/B51)))</f>
        <v>6.6715399080827709</v>
      </c>
      <c r="G128" s="11">
        <f t="shared" ca="1" si="13"/>
        <v>46.589477500305975</v>
      </c>
      <c r="H128" s="50" t="str">
        <f ca="1">IF(I176=C128,I128,"")</f>
        <v/>
      </c>
      <c r="I128" s="52">
        <f t="shared" ca="1" si="12"/>
        <v>6.7</v>
      </c>
      <c r="J128" s="52"/>
      <c r="K128" s="52"/>
      <c r="L128" s="52"/>
      <c r="M128" s="52"/>
      <c r="N128" s="52"/>
      <c r="O128" s="52"/>
      <c r="P128" s="52"/>
      <c r="Q128" s="52"/>
      <c r="R128" s="52"/>
      <c r="S128" s="52"/>
      <c r="T128" s="52"/>
      <c r="U128" s="52"/>
      <c r="V128" s="52"/>
    </row>
    <row r="129" spans="1:22" x14ac:dyDescent="0.3">
      <c r="A129" s="11">
        <f ca="1">'FALL 3'!A129</f>
        <v>41.943122432623468</v>
      </c>
      <c r="B129" s="11">
        <f ca="1">'FALL 3'!B129</f>
        <v>47.174797672067406</v>
      </c>
      <c r="C129" s="11">
        <f>'FALL 3'!C129</f>
        <v>56</v>
      </c>
      <c r="D129" s="11">
        <f ca="1">IF(C129=0,"",(B129*0.01*(L37-L38)+L38))</f>
        <v>47.231301710242739</v>
      </c>
      <c r="E129" s="11"/>
      <c r="F129" s="11">
        <f ca="1">IF(D129="","",(EXP(((LN((D129/(100-D129))))-B50)/B51)))</f>
        <v>6.745131564188533</v>
      </c>
      <c r="G129" s="11">
        <f t="shared" ca="1" si="13"/>
        <v>47.231301710242739</v>
      </c>
      <c r="H129" s="50" t="str">
        <f ca="1">IF(I176=C129,I129,"")</f>
        <v/>
      </c>
      <c r="I129" s="52">
        <f t="shared" ca="1" si="12"/>
        <v>6.7</v>
      </c>
      <c r="J129" s="52"/>
      <c r="K129" s="52"/>
      <c r="L129" s="52"/>
      <c r="M129" s="52"/>
      <c r="N129" s="52"/>
      <c r="O129" s="52"/>
      <c r="P129" s="52"/>
      <c r="Q129" s="52"/>
      <c r="R129" s="52"/>
      <c r="S129" s="52"/>
      <c r="T129" s="52"/>
      <c r="U129" s="52"/>
      <c r="V129" s="52"/>
    </row>
    <row r="130" spans="1:22" x14ac:dyDescent="0.3">
      <c r="A130" s="11">
        <f ca="1">'FALL 3'!A130</f>
        <v>48.024743567904558</v>
      </c>
      <c r="B130" s="11">
        <f ca="1">'FALL 3'!B130</f>
        <v>48.024743567904558</v>
      </c>
      <c r="C130" s="11">
        <f>'FALL 3'!C130</f>
        <v>57</v>
      </c>
      <c r="D130" s="11">
        <f ca="1">IF(C130=0,"",(B130*0.01*(L37-L38)+L38))</f>
        <v>48.064248690685218</v>
      </c>
      <c r="E130" s="11"/>
      <c r="F130" s="11">
        <f ca="1">IF(D130="","",(EXP(((LN((D130/(100-D130))))-B50)/B51)))</f>
        <v>6.8416932768670025</v>
      </c>
      <c r="G130" s="11">
        <f t="shared" ca="1" si="13"/>
        <v>48.064248690685218</v>
      </c>
      <c r="H130" s="50" t="str">
        <f ca="1">IF(I176=C130,I130,"")</f>
        <v/>
      </c>
      <c r="I130" s="52">
        <f t="shared" ca="1" si="12"/>
        <v>6.8</v>
      </c>
      <c r="J130" s="52"/>
      <c r="K130" s="52"/>
      <c r="L130" s="52"/>
      <c r="M130" s="52"/>
      <c r="N130" s="52"/>
      <c r="O130" s="52"/>
      <c r="P130" s="52"/>
      <c r="Q130" s="52"/>
      <c r="R130" s="52"/>
      <c r="S130" s="52"/>
      <c r="T130" s="52"/>
      <c r="U130" s="52"/>
      <c r="V130" s="52"/>
    </row>
    <row r="131" spans="1:22" x14ac:dyDescent="0.3">
      <c r="A131" s="11">
        <f ca="1">'FALL 3'!A131</f>
        <v>57.057053405632232</v>
      </c>
      <c r="B131" s="11">
        <f ca="1">'FALL 3'!B131</f>
        <v>49.691148443190642</v>
      </c>
      <c r="C131" s="11">
        <f>'FALL 3'!C131</f>
        <v>58</v>
      </c>
      <c r="D131" s="11">
        <f ca="1">IF(C131=0,"",(B131*0.01*(L37-L38)+L38))</f>
        <v>49.697325473410359</v>
      </c>
      <c r="E131" s="11"/>
      <c r="F131" s="11">
        <f ca="1">IF(D131="","",(EXP(((LN((D131/(100-D131))))-B50)/B51)))</f>
        <v>7.0347196799907383</v>
      </c>
      <c r="G131" s="11">
        <f t="shared" ca="1" si="13"/>
        <v>49.697325473410359</v>
      </c>
      <c r="H131" s="50" t="str">
        <f ca="1">IF(I176=C131,I131,"")</f>
        <v/>
      </c>
      <c r="I131" s="52">
        <f t="shared" ca="1" si="12"/>
        <v>7</v>
      </c>
      <c r="J131" s="52"/>
      <c r="K131" s="52"/>
      <c r="L131" s="52"/>
      <c r="M131" s="52"/>
      <c r="N131" s="52"/>
      <c r="O131" s="52"/>
      <c r="P131" s="52"/>
      <c r="Q131" s="52"/>
      <c r="R131" s="52"/>
      <c r="S131" s="52"/>
      <c r="T131" s="52"/>
      <c r="U131" s="52"/>
      <c r="V131" s="52"/>
    </row>
    <row r="132" spans="1:22" x14ac:dyDescent="0.3">
      <c r="A132" s="11">
        <f ca="1">'FALL 3'!A132</f>
        <v>57.963653871992953</v>
      </c>
      <c r="B132" s="11">
        <f ca="1">'FALL 3'!B132</f>
        <v>49.839586191156599</v>
      </c>
      <c r="C132" s="11">
        <f>'FALL 3'!C132</f>
        <v>59</v>
      </c>
      <c r="D132" s="11">
        <f ca="1">IF(C132=0,"",(B132*0.01*(L37-L38)+L38))</f>
        <v>49.842794466857463</v>
      </c>
      <c r="E132" s="11"/>
      <c r="F132" s="11">
        <f ca="1">IF(D132="","",(EXP(((LN((D132/(100-D132))))-B50)/B51)))</f>
        <v>7.0521658150534945</v>
      </c>
      <c r="G132" s="11">
        <f t="shared" ca="1" si="13"/>
        <v>49.842794466857463</v>
      </c>
      <c r="H132" s="50" t="str">
        <f ca="1">IF(I176=C132,I132,"")</f>
        <v/>
      </c>
      <c r="I132" s="52">
        <f t="shared" ca="1" si="12"/>
        <v>7.1</v>
      </c>
      <c r="J132" s="52"/>
      <c r="K132" s="52"/>
      <c r="L132" s="52"/>
      <c r="M132" s="52"/>
      <c r="N132" s="52"/>
      <c r="O132" s="52"/>
      <c r="P132" s="52"/>
      <c r="Q132" s="52"/>
      <c r="R132" s="52"/>
      <c r="S132" s="52"/>
      <c r="T132" s="52"/>
      <c r="U132" s="52"/>
      <c r="V132" s="52"/>
    </row>
    <row r="133" spans="1:22" x14ac:dyDescent="0.3">
      <c r="A133" s="11">
        <f ca="1">'FALL 3'!A133</f>
        <v>49.839586191156599</v>
      </c>
      <c r="B133" s="11">
        <f ca="1">'FALL 3'!B133</f>
        <v>50.172602681297342</v>
      </c>
      <c r="C133" s="11">
        <f>'FALL 3'!C133</f>
        <v>60</v>
      </c>
      <c r="D133" s="11">
        <f ca="1">IF(C133=0,"",(B133*0.01*(L37-L38)+L38))</f>
        <v>50.169150628183566</v>
      </c>
      <c r="E133" s="11"/>
      <c r="F133" s="11">
        <f ca="1">IF(D133="","",(EXP(((LN((D133/(100-D133))))-B50)/B51)))</f>
        <v>7.0914626551017506</v>
      </c>
      <c r="G133" s="11">
        <f t="shared" ca="1" si="13"/>
        <v>50.169150628183566</v>
      </c>
      <c r="H133" s="50" t="str">
        <f ca="1">IF(I176=C133,I133,"")</f>
        <v/>
      </c>
      <c r="I133" s="52">
        <f t="shared" ca="1" si="12"/>
        <v>7.1</v>
      </c>
      <c r="J133" s="52"/>
      <c r="K133" s="52"/>
      <c r="L133" s="52"/>
      <c r="M133" s="52"/>
      <c r="N133" s="52"/>
      <c r="O133" s="52"/>
      <c r="P133" s="52"/>
      <c r="Q133" s="52"/>
      <c r="R133" s="52"/>
      <c r="S133" s="52"/>
      <c r="T133" s="52"/>
      <c r="U133" s="52"/>
      <c r="V133" s="52"/>
    </row>
    <row r="134" spans="1:22" x14ac:dyDescent="0.3">
      <c r="A134" s="11">
        <f ca="1">'FALL 3'!A134</f>
        <v>10.53043649250084</v>
      </c>
      <c r="B134" s="11">
        <f ca="1">'FALL 3'!B134</f>
        <v>54.990009558994942</v>
      </c>
      <c r="C134" s="11">
        <f>'FALL 3'!C134</f>
        <v>61</v>
      </c>
      <c r="D134" s="11">
        <f ca="1">IF(C134=0,"",(B134*0.01*(L37-L38)+L38))</f>
        <v>54.890209382622075</v>
      </c>
      <c r="E134" s="11"/>
      <c r="F134" s="11">
        <f ca="1">IF(D134="","",(EXP(((LN((D134/(100-D134))))-B50)/B51)))</f>
        <v>7.6870987523481524</v>
      </c>
      <c r="G134" s="11">
        <f t="shared" ca="1" si="13"/>
        <v>54.890209382622075</v>
      </c>
      <c r="H134" s="50" t="str">
        <f ca="1">IF(I176=C134,I134,"")</f>
        <v/>
      </c>
      <c r="I134" s="52">
        <f t="shared" ca="1" si="12"/>
        <v>7.7</v>
      </c>
      <c r="J134" s="52"/>
      <c r="K134" s="52"/>
      <c r="L134" s="52"/>
      <c r="M134" s="52"/>
      <c r="N134" s="52"/>
      <c r="O134" s="52"/>
      <c r="P134" s="52"/>
      <c r="Q134" s="52"/>
      <c r="R134" s="52"/>
      <c r="S134" s="52"/>
      <c r="T134" s="52"/>
      <c r="U134" s="52"/>
      <c r="V134" s="52"/>
    </row>
    <row r="135" spans="1:22" x14ac:dyDescent="0.3">
      <c r="A135" s="11">
        <f ca="1">'FALL 3'!A135</f>
        <v>45.131435825901526</v>
      </c>
      <c r="B135" s="11">
        <f ca="1">'FALL 3'!B135</f>
        <v>55.921474171140048</v>
      </c>
      <c r="C135" s="11">
        <f>'FALL 3'!C135</f>
        <v>62</v>
      </c>
      <c r="D135" s="11">
        <f ca="1">IF(C135=0,"",(B135*0.01*(L37-L38)+L38))</f>
        <v>55.803044705288244</v>
      </c>
      <c r="E135" s="11"/>
      <c r="F135" s="11">
        <f ca="1">IF(D135="","",(EXP(((LN((D135/(100-D135))))-B50)/B51)))</f>
        <v>7.8089178712795988</v>
      </c>
      <c r="G135" s="11">
        <f t="shared" ca="1" si="13"/>
        <v>55.803044705288244</v>
      </c>
      <c r="H135" s="50" t="str">
        <f ca="1">IF(I176=C135,I135,"")</f>
        <v/>
      </c>
      <c r="I135" s="52">
        <f t="shared" ca="1" si="12"/>
        <v>7.8</v>
      </c>
      <c r="J135" s="52"/>
      <c r="K135" s="52"/>
      <c r="L135" s="52"/>
      <c r="M135" s="52"/>
      <c r="N135" s="52"/>
      <c r="O135" s="52"/>
      <c r="P135" s="52"/>
      <c r="Q135" s="52"/>
      <c r="R135" s="52"/>
      <c r="S135" s="52"/>
      <c r="T135" s="52"/>
      <c r="U135" s="52"/>
      <c r="V135" s="52"/>
    </row>
    <row r="136" spans="1:22" x14ac:dyDescent="0.3">
      <c r="A136" s="11">
        <f ca="1">'FALL 3'!A136</f>
        <v>8.6086870533608284</v>
      </c>
      <c r="B136" s="11">
        <f ca="1">'FALL 3'!B136</f>
        <v>57.057053405632232</v>
      </c>
      <c r="C136" s="11">
        <f>'FALL 3'!C136</f>
        <v>63</v>
      </c>
      <c r="D136" s="11">
        <f ca="1">IF(C136=0,"",(B136*0.01*(L37-L38)+L38))</f>
        <v>56.915912358460226</v>
      </c>
      <c r="E136" s="11"/>
      <c r="F136" s="11">
        <f ca="1">IF(D136="","",(EXP(((LN((D136/(100-D136))))-B50)/B51)))</f>
        <v>7.9607839050279665</v>
      </c>
      <c r="G136" s="11">
        <f t="shared" ca="1" si="13"/>
        <v>56.915912358460226</v>
      </c>
      <c r="H136" s="50" t="str">
        <f ca="1">IF(I176=C136,I136,"")</f>
        <v/>
      </c>
      <c r="I136" s="52">
        <f t="shared" ca="1" si="12"/>
        <v>8</v>
      </c>
      <c r="J136" s="52"/>
      <c r="K136" s="52"/>
      <c r="L136" s="52"/>
      <c r="M136" s="52"/>
      <c r="N136" s="52"/>
      <c r="O136" s="52"/>
      <c r="P136" s="52"/>
      <c r="Q136" s="52"/>
      <c r="R136" s="52"/>
      <c r="S136" s="52"/>
      <c r="T136" s="52"/>
      <c r="U136" s="52"/>
      <c r="V136" s="52"/>
    </row>
    <row r="137" spans="1:22" x14ac:dyDescent="0.3">
      <c r="A137" s="11">
        <f ca="1">'FALL 3'!A137</f>
        <v>18.096694046407926</v>
      </c>
      <c r="B137" s="11">
        <f ca="1">'FALL 3'!B137</f>
        <v>57.231159567227657</v>
      </c>
      <c r="C137" s="11">
        <f>'FALL 3'!C137</f>
        <v>64</v>
      </c>
      <c r="D137" s="11">
        <f ca="1">IF(C137=0,"",(B137*0.01*(L37-L38)+L38))</f>
        <v>57.086536397340382</v>
      </c>
      <c r="E137" s="11"/>
      <c r="F137" s="11">
        <f ca="1">IF(D137="","",(EXP(((LN((D137/(100-D137))))-B50)/B51)))</f>
        <v>7.9844090466832043</v>
      </c>
      <c r="G137" s="11">
        <f t="shared" ca="1" si="13"/>
        <v>57.086536397340382</v>
      </c>
      <c r="H137" s="50" t="str">
        <f ca="1">IF(I176=C137,I137,"")</f>
        <v/>
      </c>
      <c r="I137" s="52">
        <f t="shared" ca="1" si="12"/>
        <v>8</v>
      </c>
      <c r="J137" s="52"/>
      <c r="K137" s="52"/>
      <c r="L137" s="52"/>
      <c r="M137" s="52"/>
      <c r="N137" s="52"/>
      <c r="O137" s="52"/>
      <c r="P137" s="52"/>
      <c r="Q137" s="52"/>
      <c r="R137" s="52"/>
      <c r="S137" s="52"/>
      <c r="T137" s="52"/>
      <c r="U137" s="52"/>
      <c r="V137" s="52"/>
    </row>
    <row r="138" spans="1:22" x14ac:dyDescent="0.3">
      <c r="A138" s="11">
        <f ca="1">'FALL 3'!A138</f>
        <v>15.018448098362695</v>
      </c>
      <c r="B138" s="11">
        <f ca="1">'FALL 3'!B138</f>
        <v>57.963653871992953</v>
      </c>
      <c r="C138" s="11">
        <f>'FALL 3'!C138</f>
        <v>65</v>
      </c>
      <c r="D138" s="11">
        <f ca="1">IF(C138=0,"",(B138*0.01*(L37-L38)+L38))</f>
        <v>57.80438081818393</v>
      </c>
      <c r="E138" s="11"/>
      <c r="F138" s="11">
        <f ca="1">IF(D138="","",(EXP(((LN((D138/(100-D138))))-B50)/B51)))</f>
        <v>8.0848409140966613</v>
      </c>
      <c r="G138" s="11">
        <f t="shared" ref="G138:G173" ca="1" si="14">D138</f>
        <v>57.80438081818393</v>
      </c>
      <c r="H138" s="50" t="str">
        <f ca="1">IF(I176=C138,I138,"")</f>
        <v/>
      </c>
      <c r="I138" s="52">
        <f t="shared" ref="I138:I173" ca="1" si="15">IF(F138="","",ROUND(F138,1))</f>
        <v>8.1</v>
      </c>
      <c r="J138" s="52"/>
      <c r="K138" s="52"/>
      <c r="L138" s="52"/>
      <c r="M138" s="52"/>
      <c r="N138" s="52"/>
      <c r="O138" s="52"/>
      <c r="P138" s="52"/>
      <c r="Q138" s="52"/>
      <c r="R138" s="52"/>
      <c r="S138" s="52"/>
      <c r="T138" s="52"/>
      <c r="U138" s="52"/>
      <c r="V138" s="52"/>
    </row>
    <row r="139" spans="1:22" x14ac:dyDescent="0.3">
      <c r="A139" s="11">
        <f ca="1">'FALL 3'!A139</f>
        <v>22.363985131911313</v>
      </c>
      <c r="B139" s="11">
        <f ca="1">'FALL 3'!B139</f>
        <v>58.464920340926298</v>
      </c>
      <c r="C139" s="11">
        <f>'FALL 3'!C139</f>
        <v>66</v>
      </c>
      <c r="D139" s="11">
        <f ca="1">IF(C139=0,"",(B139*0.01*(L37-L38)+L38))</f>
        <v>58.295621959226025</v>
      </c>
      <c r="E139" s="11"/>
      <c r="F139" s="11">
        <f ca="1">IF(D139="","",(EXP(((LN((D139/(100-D139))))-B50)/B51)))</f>
        <v>8.1545639850759848</v>
      </c>
      <c r="G139" s="11">
        <f t="shared" ca="1" si="14"/>
        <v>58.295621959226025</v>
      </c>
      <c r="H139" s="50" t="str">
        <f>IF(176=C139,I139,"")</f>
        <v/>
      </c>
      <c r="I139" s="52">
        <f t="shared" ca="1" si="15"/>
        <v>8.1999999999999993</v>
      </c>
      <c r="J139" s="52"/>
      <c r="K139" s="52"/>
      <c r="L139" s="52"/>
      <c r="M139" s="52"/>
      <c r="N139" s="52"/>
      <c r="O139" s="52"/>
      <c r="P139" s="52"/>
      <c r="Q139" s="52"/>
      <c r="R139" s="52"/>
      <c r="S139" s="52"/>
      <c r="T139" s="52"/>
      <c r="U139" s="52"/>
      <c r="V139" s="52"/>
    </row>
    <row r="140" spans="1:22" x14ac:dyDescent="0.3">
      <c r="A140" s="11">
        <f ca="1">'FALL 3'!A140</f>
        <v>20.069201538126915</v>
      </c>
      <c r="B140" s="11">
        <f ca="1">'FALL 3'!B140</f>
        <v>61.62027419648895</v>
      </c>
      <c r="C140" s="11">
        <f>'FALL 3'!C140</f>
        <v>67</v>
      </c>
      <c r="D140" s="11">
        <f ca="1">IF(C140=0,"",(B140*0.01*(L37-L38)+L38))</f>
        <v>61.387868747040422</v>
      </c>
      <c r="E140" s="11"/>
      <c r="F140" s="11">
        <f ca="1">IF(D140="","",(EXP(((LN((D140/(100-D140))))-B50)/B51)))</f>
        <v>8.6138576744582682</v>
      </c>
      <c r="G140" s="11">
        <f t="shared" ca="1" si="14"/>
        <v>61.387868747040422</v>
      </c>
      <c r="H140" s="50" t="str">
        <f ca="1">IF(I176=C140,I140,"")</f>
        <v/>
      </c>
      <c r="I140" s="52">
        <f t="shared" ca="1" si="15"/>
        <v>8.6</v>
      </c>
      <c r="J140" s="52"/>
      <c r="K140" s="52"/>
      <c r="L140" s="52"/>
      <c r="M140" s="52"/>
      <c r="N140" s="52"/>
      <c r="O140" s="52"/>
      <c r="P140" s="52"/>
      <c r="Q140" s="52"/>
      <c r="R140" s="52"/>
      <c r="S140" s="52"/>
      <c r="T140" s="52"/>
      <c r="U140" s="52"/>
      <c r="V140" s="52"/>
    </row>
    <row r="141" spans="1:22" x14ac:dyDescent="0.3">
      <c r="A141" s="11">
        <f ca="1">'FALL 3'!A141</f>
        <v>61.624048016440454</v>
      </c>
      <c r="B141" s="11">
        <f ca="1">'FALL 3'!B141</f>
        <v>61.624048016440454</v>
      </c>
      <c r="C141" s="11">
        <f>'FALL 3'!C141</f>
        <v>68</v>
      </c>
      <c r="D141" s="11">
        <f ca="1">IF(C141=0,"",(B141*0.01*(L37-L38)+L38))</f>
        <v>61.391567090604092</v>
      </c>
      <c r="E141" s="11"/>
      <c r="F141" s="11">
        <f ca="1">IF(D141="","",(EXP(((LN((D141/(100-D141))))-B50)/B51)))</f>
        <v>8.6144298052243027</v>
      </c>
      <c r="G141" s="11">
        <f t="shared" ca="1" si="14"/>
        <v>61.391567090604092</v>
      </c>
      <c r="H141" s="50" t="str">
        <f ca="1">IF(I176=C141,I141,"")</f>
        <v/>
      </c>
      <c r="I141" s="52">
        <f t="shared" ca="1" si="15"/>
        <v>8.6</v>
      </c>
      <c r="J141" s="52"/>
      <c r="K141" s="52"/>
      <c r="L141" s="52"/>
      <c r="M141" s="52"/>
      <c r="N141" s="52"/>
      <c r="O141" s="52"/>
      <c r="P141" s="52"/>
      <c r="Q141" s="52"/>
      <c r="R141" s="52"/>
      <c r="S141" s="52"/>
      <c r="T141" s="52"/>
      <c r="U141" s="52"/>
      <c r="V141" s="52"/>
    </row>
    <row r="142" spans="1:22" x14ac:dyDescent="0.3">
      <c r="A142" s="11">
        <f ca="1">'FALL 3'!A142</f>
        <v>95.286660752850921</v>
      </c>
      <c r="B142" s="11">
        <f ca="1">'FALL 3'!B142</f>
        <v>61.705597331283826</v>
      </c>
      <c r="C142" s="11">
        <f>'FALL 3'!C142</f>
        <v>69</v>
      </c>
      <c r="D142" s="11">
        <f ca="1">IF(C142=0,"",(B142*0.01*(L37-L38)+L38))</f>
        <v>61.471485419392572</v>
      </c>
      <c r="E142" s="11"/>
      <c r="F142" s="11">
        <f ca="1">IF(D142="","",(EXP(((LN((D142/(100-D142))))-B50)/B51)))</f>
        <v>8.6268073828163043</v>
      </c>
      <c r="G142" s="11">
        <f t="shared" ca="1" si="14"/>
        <v>61.471485419392572</v>
      </c>
      <c r="H142" s="50" t="str">
        <f ca="1">IF(I176=C142,I142,"")</f>
        <v/>
      </c>
      <c r="I142" s="52">
        <f t="shared" ca="1" si="15"/>
        <v>8.6</v>
      </c>
      <c r="J142" s="52"/>
      <c r="K142" s="52"/>
      <c r="L142" s="52"/>
      <c r="M142" s="52"/>
      <c r="N142" s="52"/>
      <c r="O142" s="52"/>
      <c r="P142" s="52"/>
      <c r="Q142" s="52"/>
      <c r="R142" s="52"/>
      <c r="S142" s="52"/>
      <c r="T142" s="52"/>
      <c r="U142" s="52"/>
      <c r="V142" s="52"/>
    </row>
    <row r="143" spans="1:22" x14ac:dyDescent="0.3">
      <c r="A143" s="11">
        <f ca="1">'FALL 3'!A143</f>
        <v>93.945212033707335</v>
      </c>
      <c r="B143" s="11">
        <f ca="1">'FALL 3'!B143</f>
        <v>61.739216598369225</v>
      </c>
      <c r="C143" s="11">
        <f>'FALL 3'!C143</f>
        <v>70</v>
      </c>
      <c r="D143" s="11">
        <f ca="1">IF(C143=0,"",(B143*0.01*(L37-L38)+L38))</f>
        <v>61.504432301236029</v>
      </c>
      <c r="E143" s="11"/>
      <c r="F143" s="11">
        <f ca="1">IF(D143="","",(EXP(((LN((D143/(100-D143))))-B50)/B51)))</f>
        <v>8.6319180898325918</v>
      </c>
      <c r="G143" s="11">
        <f t="shared" ca="1" si="14"/>
        <v>61.504432301236029</v>
      </c>
      <c r="H143" s="50" t="str">
        <f ca="1">IF(I176=C143,I143,"")</f>
        <v/>
      </c>
      <c r="I143" s="52">
        <f t="shared" ca="1" si="15"/>
        <v>8.6</v>
      </c>
      <c r="J143" s="52"/>
      <c r="K143" s="52"/>
      <c r="L143" s="52"/>
      <c r="M143" s="52"/>
      <c r="N143" s="52"/>
      <c r="O143" s="52"/>
      <c r="P143" s="52"/>
      <c r="Q143" s="52"/>
      <c r="R143" s="52"/>
      <c r="S143" s="52"/>
      <c r="T143" s="52"/>
      <c r="U143" s="52"/>
      <c r="V143" s="52"/>
    </row>
    <row r="144" spans="1:22" x14ac:dyDescent="0.3">
      <c r="A144" s="11">
        <f ca="1">'FALL 3'!A144</f>
        <v>33.716555255162135</v>
      </c>
      <c r="B144" s="11">
        <f ca="1">'FALL 3'!B144</f>
        <v>64.209943240490091</v>
      </c>
      <c r="C144" s="11">
        <f>'FALL 3'!C144</f>
        <v>71</v>
      </c>
      <c r="D144" s="11">
        <f ca="1">IF(C144=0,"",(B144*0.01*(L37-L38)+L38))</f>
        <v>63.925744417845955</v>
      </c>
      <c r="E144" s="11"/>
      <c r="F144" s="11">
        <f ca="1">IF(D144="","",(EXP(((LN((D144/(100-D144))))-B50)/B51)))</f>
        <v>9.0210102401971906</v>
      </c>
      <c r="G144" s="11">
        <f t="shared" ca="1" si="14"/>
        <v>63.925744417845955</v>
      </c>
      <c r="H144" s="50" t="str">
        <f ca="1">IF(I176=C144,I144,"")</f>
        <v/>
      </c>
      <c r="I144" s="52">
        <f t="shared" ca="1" si="15"/>
        <v>9</v>
      </c>
      <c r="J144" s="52"/>
      <c r="K144" s="52"/>
      <c r="L144" s="52"/>
      <c r="M144" s="52"/>
      <c r="N144" s="52"/>
      <c r="O144" s="52"/>
      <c r="P144" s="52"/>
      <c r="Q144" s="52"/>
      <c r="R144" s="52"/>
      <c r="S144" s="52"/>
      <c r="T144" s="52"/>
      <c r="U144" s="52"/>
      <c r="V144" s="52"/>
    </row>
    <row r="145" spans="1:22" x14ac:dyDescent="0.3">
      <c r="A145" s="11">
        <f ca="1">'FALL 3'!A145</f>
        <v>75.835971144184526</v>
      </c>
      <c r="B145" s="11">
        <f ca="1">'FALL 3'!B145</f>
        <v>66.060567090885314</v>
      </c>
      <c r="C145" s="11">
        <f>'FALL 3'!C145</f>
        <v>72</v>
      </c>
      <c r="D145" s="11">
        <f ca="1">IF(C145=0,"",(B145*0.01*(L37-L38)+L38))</f>
        <v>65.739355796724681</v>
      </c>
      <c r="E145" s="11"/>
      <c r="F145" s="11">
        <f ca="1">IF(D145="","",(EXP(((LN((D145/(100-D145))))-B50)/B51)))</f>
        <v>9.3317429005103367</v>
      </c>
      <c r="G145" s="11">
        <f t="shared" ca="1" si="14"/>
        <v>65.739355796724681</v>
      </c>
      <c r="H145" s="50" t="str">
        <f ca="1">IF(I176=C145,I145,"")</f>
        <v/>
      </c>
      <c r="I145" s="52">
        <f t="shared" ca="1" si="15"/>
        <v>9.3000000000000007</v>
      </c>
      <c r="J145" s="52"/>
      <c r="K145" s="52"/>
      <c r="L145" s="52"/>
      <c r="M145" s="52"/>
      <c r="N145" s="52"/>
      <c r="O145" s="52"/>
      <c r="P145" s="52"/>
      <c r="Q145" s="52"/>
      <c r="R145" s="52"/>
      <c r="S145" s="52"/>
      <c r="T145" s="52"/>
      <c r="U145" s="52"/>
      <c r="V145" s="52"/>
    </row>
    <row r="146" spans="1:22" x14ac:dyDescent="0.3">
      <c r="A146" s="11">
        <f ca="1">'FALL 3'!A146</f>
        <v>34.688641730273304</v>
      </c>
      <c r="B146" s="11">
        <f ca="1">'FALL 3'!B146</f>
        <v>66.653251272831909</v>
      </c>
      <c r="C146" s="11">
        <f>'FALL 3'!C146</f>
        <v>73</v>
      </c>
      <c r="D146" s="11">
        <f ca="1">IF(C146=0,"",(B146*0.01*(L37-L38)+L38))</f>
        <v>66.32018629679105</v>
      </c>
      <c r="E146" s="11"/>
      <c r="F146" s="11">
        <f ca="1">IF(D146="","",(EXP(((LN((D146/(100-D146))))-B50)/B51)))</f>
        <v>9.4351742466149524</v>
      </c>
      <c r="G146" s="11">
        <f t="shared" ca="1" si="14"/>
        <v>66.32018629679105</v>
      </c>
      <c r="H146" s="50" t="str">
        <f ca="1">IF(I176=C146,I146,"")</f>
        <v/>
      </c>
      <c r="I146" s="52">
        <f t="shared" ca="1" si="15"/>
        <v>9.4</v>
      </c>
      <c r="J146" s="52"/>
      <c r="K146" s="52"/>
      <c r="L146" s="52"/>
      <c r="M146" s="52"/>
      <c r="N146" s="52"/>
      <c r="O146" s="52"/>
      <c r="P146" s="52"/>
      <c r="Q146" s="52"/>
      <c r="R146" s="52"/>
      <c r="S146" s="52"/>
      <c r="T146" s="52"/>
      <c r="U146" s="52"/>
      <c r="V146" s="52"/>
    </row>
    <row r="147" spans="1:22" x14ac:dyDescent="0.3">
      <c r="A147" s="11">
        <f ca="1">'FALL 3'!A147</f>
        <v>19.716125294376258</v>
      </c>
      <c r="B147" s="11">
        <f ca="1">'FALL 3'!B147</f>
        <v>66.829826929516031</v>
      </c>
      <c r="C147" s="11">
        <f>'FALL 3'!C147</f>
        <v>74</v>
      </c>
      <c r="D147" s="11">
        <f ca="1">IF(C147=0,"",(B147*0.01*(L37-L38)+L38))</f>
        <v>66.493230440865446</v>
      </c>
      <c r="E147" s="11"/>
      <c r="F147" s="11">
        <f ca="1">IF(D147="","",(EXP(((LN((D147/(100-D147))))-B50)/B51)))</f>
        <v>9.46638000829617</v>
      </c>
      <c r="G147" s="11">
        <f t="shared" ca="1" si="14"/>
        <v>66.493230440865446</v>
      </c>
      <c r="H147" s="50" t="str">
        <f ca="1">IF(I176=C147,I147,"")</f>
        <v/>
      </c>
      <c r="I147" s="52">
        <f t="shared" ca="1" si="15"/>
        <v>9.5</v>
      </c>
      <c r="J147" s="52"/>
      <c r="K147" s="52"/>
      <c r="L147" s="52"/>
      <c r="M147" s="52"/>
      <c r="N147" s="52"/>
      <c r="O147" s="52"/>
      <c r="P147" s="52"/>
      <c r="Q147" s="52"/>
      <c r="R147" s="52"/>
      <c r="S147" s="52"/>
      <c r="T147" s="52"/>
      <c r="U147" s="52"/>
      <c r="V147" s="52"/>
    </row>
    <row r="148" spans="1:22" x14ac:dyDescent="0.3">
      <c r="A148" s="11">
        <f ca="1">'FALL 3'!A148</f>
        <v>10.885530224479504</v>
      </c>
      <c r="B148" s="11">
        <f ca="1">'FALL 3'!B148</f>
        <v>67.554798364905551</v>
      </c>
      <c r="C148" s="11">
        <f>'FALL 3'!C148</f>
        <v>75</v>
      </c>
      <c r="D148" s="11">
        <f ca="1">IF(C148=0,"",(B148*0.01*(L37-L38)+L38))</f>
        <v>67.203702449698397</v>
      </c>
      <c r="E148" s="11"/>
      <c r="F148" s="11">
        <f ca="1">IF(D148="","",(EXP(((LN((D148/(100-D148))))-B50)/B51)))</f>
        <v>9.5964537519071964</v>
      </c>
      <c r="G148" s="11">
        <f t="shared" ca="1" si="14"/>
        <v>67.203702449698397</v>
      </c>
      <c r="H148" s="50" t="str">
        <f ca="1">IF(I176=C148,I148,"")</f>
        <v/>
      </c>
      <c r="I148" s="52">
        <f t="shared" ca="1" si="15"/>
        <v>9.6</v>
      </c>
      <c r="J148" s="52"/>
      <c r="K148" s="52"/>
      <c r="L148" s="52"/>
      <c r="M148" s="52"/>
      <c r="N148" s="52"/>
      <c r="O148" s="52"/>
      <c r="P148" s="52"/>
      <c r="Q148" s="52"/>
      <c r="R148" s="52"/>
      <c r="S148" s="52"/>
      <c r="T148" s="52"/>
      <c r="U148" s="52"/>
      <c r="V148" s="52"/>
    </row>
    <row r="149" spans="1:22" x14ac:dyDescent="0.3">
      <c r="A149" s="11">
        <f ca="1">'FALL 3'!A149</f>
        <v>73.350716253599742</v>
      </c>
      <c r="B149" s="11">
        <f ca="1">'FALL 3'!B149</f>
        <v>69.999571086914443</v>
      </c>
      <c r="C149" s="11">
        <f>'FALL 3'!C149</f>
        <v>76</v>
      </c>
      <c r="D149" s="11">
        <f ca="1">IF(C149=0,"",(B149*0.01*(L37-L38)+L38))</f>
        <v>69.599579724521575</v>
      </c>
      <c r="E149" s="11"/>
      <c r="F149" s="11">
        <f ca="1">IF(D149="","",(EXP(((LN((D149/(100-D149))))-B50)/B51)))</f>
        <v>10.060290857729402</v>
      </c>
      <c r="G149" s="11">
        <f t="shared" ca="1" si="14"/>
        <v>69.599579724521575</v>
      </c>
      <c r="H149" s="50" t="str">
        <f ca="1">IF(I176=C149,I149,"")</f>
        <v/>
      </c>
      <c r="I149" s="52">
        <f t="shared" ca="1" si="15"/>
        <v>10.1</v>
      </c>
      <c r="J149" s="52"/>
      <c r="K149" s="52"/>
      <c r="L149" s="52"/>
      <c r="M149" s="52"/>
      <c r="N149" s="52"/>
      <c r="O149" s="52"/>
      <c r="P149" s="52"/>
      <c r="Q149" s="52"/>
      <c r="R149" s="52"/>
      <c r="S149" s="52"/>
      <c r="T149" s="52"/>
      <c r="U149" s="52"/>
      <c r="V149" s="52"/>
    </row>
    <row r="150" spans="1:22" x14ac:dyDescent="0.3">
      <c r="A150" s="11">
        <f ca="1">'FALL 3'!A150</f>
        <v>61.739216598369225</v>
      </c>
      <c r="B150" s="11">
        <f ca="1">'FALL 3'!B150</f>
        <v>70.170321861690041</v>
      </c>
      <c r="C150" s="11">
        <f>'FALL 3'!C150</f>
        <v>77</v>
      </c>
      <c r="D150" s="11">
        <f ca="1">IF(C150=0,"",(B150*0.01*(L37-L38)+L38))</f>
        <v>69.766915484308342</v>
      </c>
      <c r="E150" s="11"/>
      <c r="F150" s="11">
        <f ca="1">IF(D150="","",(EXP(((LN((D150/(100-D150))))-B50)/B51)))</f>
        <v>10.094268714717236</v>
      </c>
      <c r="G150" s="11">
        <f t="shared" ca="1" si="14"/>
        <v>69.766915484308342</v>
      </c>
      <c r="H150" s="50" t="str">
        <f ca="1">IF(I176=C150,I150,"")</f>
        <v/>
      </c>
      <c r="I150" s="52">
        <f t="shared" ca="1" si="15"/>
        <v>10.1</v>
      </c>
      <c r="J150" s="52"/>
      <c r="K150" s="52"/>
      <c r="L150" s="52"/>
      <c r="M150" s="52"/>
      <c r="N150" s="52"/>
      <c r="O150" s="52"/>
      <c r="P150" s="52"/>
      <c r="Q150" s="52"/>
      <c r="R150" s="52"/>
      <c r="S150" s="52"/>
      <c r="T150" s="52"/>
      <c r="U150" s="52"/>
      <c r="V150" s="52"/>
    </row>
    <row r="151" spans="1:22" x14ac:dyDescent="0.3">
      <c r="A151" s="11">
        <f ca="1">'FALL 3'!A151</f>
        <v>96.792694727048797</v>
      </c>
      <c r="B151" s="11">
        <f ca="1">'FALL 3'!B151</f>
        <v>70.917425780520034</v>
      </c>
      <c r="C151" s="11">
        <f>'FALL 3'!C151</f>
        <v>78</v>
      </c>
      <c r="D151" s="11">
        <f ca="1">IF(C151=0,"",(B151*0.01*(L37-L38)+L38))</f>
        <v>70.499077326978636</v>
      </c>
      <c r="E151" s="11"/>
      <c r="F151" s="11">
        <f ca="1">IF(D151="","",(EXP(((LN((D151/(100-D151))))-B50)/B51)))</f>
        <v>10.245587867257749</v>
      </c>
      <c r="G151" s="11">
        <f t="shared" ca="1" si="14"/>
        <v>70.499077326978636</v>
      </c>
      <c r="H151" s="50" t="str">
        <f ca="1">IF(I176=C151,I151,"")</f>
        <v/>
      </c>
      <c r="I151" s="52">
        <f t="shared" ca="1" si="15"/>
        <v>10.199999999999999</v>
      </c>
      <c r="J151" s="52"/>
      <c r="K151" s="52"/>
      <c r="L151" s="52"/>
      <c r="M151" s="52"/>
      <c r="N151" s="52"/>
      <c r="O151" s="52"/>
      <c r="P151" s="52"/>
      <c r="Q151" s="52"/>
      <c r="R151" s="52"/>
      <c r="S151" s="52"/>
      <c r="T151" s="52"/>
      <c r="U151" s="52"/>
      <c r="V151" s="52"/>
    </row>
    <row r="152" spans="1:22" x14ac:dyDescent="0.3">
      <c r="A152" s="11">
        <f ca="1">'FALL 3'!A152</f>
        <v>75.880495810393597</v>
      </c>
      <c r="B152" s="11">
        <f ca="1">'FALL 3'!B152</f>
        <v>73.350716253599742</v>
      </c>
      <c r="C152" s="11">
        <f>'FALL 3'!C152</f>
        <v>79</v>
      </c>
      <c r="D152" s="11">
        <f ca="1">IF(C152=0,"",(B152*0.01*(L37-L38)+L38))</f>
        <v>72.883701997817141</v>
      </c>
      <c r="E152" s="11"/>
      <c r="F152" s="11">
        <f ca="1">IF(D152="","",(EXP(((LN((D152/(100-D152))))-B50)/B51)))</f>
        <v>10.771305506282285</v>
      </c>
      <c r="G152" s="11">
        <f t="shared" ca="1" si="14"/>
        <v>72.883701997817141</v>
      </c>
      <c r="H152" s="50" t="str">
        <f ca="1">IF(I176=C152,I152,"")</f>
        <v/>
      </c>
      <c r="I152" s="52">
        <f t="shared" ca="1" si="15"/>
        <v>10.8</v>
      </c>
      <c r="J152" s="52"/>
      <c r="K152" s="52"/>
      <c r="L152" s="52"/>
      <c r="M152" s="52"/>
      <c r="N152" s="52"/>
      <c r="O152" s="52"/>
      <c r="P152" s="52"/>
      <c r="Q152" s="52"/>
      <c r="R152" s="52"/>
      <c r="S152" s="52"/>
      <c r="T152" s="52"/>
      <c r="U152" s="52"/>
      <c r="V152" s="52"/>
    </row>
    <row r="153" spans="1:22" x14ac:dyDescent="0.3">
      <c r="A153" s="11">
        <f ca="1">'FALL 3'!A153</f>
        <v>89.472758160042972</v>
      </c>
      <c r="B153" s="11">
        <f ca="1">'FALL 3'!B153</f>
        <v>75.343875189459823</v>
      </c>
      <c r="C153" s="11">
        <f>'FALL 3'!C153</f>
        <v>80</v>
      </c>
      <c r="D153" s="11">
        <f ca="1">IF(C153=0,"",(B153*0.01*(L37-L38)+L38))</f>
        <v>74.836997760874382</v>
      </c>
      <c r="E153" s="11"/>
      <c r="F153" s="11">
        <f ca="1">IF(D153="","",(EXP(((LN((D153/(100-D153))))-B50)/B51)))</f>
        <v>11.245486655538775</v>
      </c>
      <c r="G153" s="11">
        <f t="shared" ca="1" si="14"/>
        <v>74.836997760874382</v>
      </c>
      <c r="H153" s="50" t="str">
        <f ca="1">IF(I176=C153,I153,"")</f>
        <v/>
      </c>
      <c r="I153" s="52">
        <f t="shared" ca="1" si="15"/>
        <v>11.2</v>
      </c>
      <c r="J153" s="52"/>
      <c r="K153" s="52"/>
      <c r="L153" s="52"/>
      <c r="M153" s="52"/>
      <c r="N153" s="52"/>
      <c r="O153" s="52"/>
      <c r="P153" s="52"/>
      <c r="Q153" s="52"/>
      <c r="R153" s="52"/>
      <c r="S153" s="52"/>
      <c r="T153" s="52"/>
      <c r="U153" s="52"/>
      <c r="V153" s="52"/>
    </row>
    <row r="154" spans="1:22" x14ac:dyDescent="0.3">
      <c r="A154" s="11">
        <f ca="1">'FALL 3'!A154</f>
        <v>30.392788314351847</v>
      </c>
      <c r="B154" s="11">
        <f ca="1">'FALL 3'!B154</f>
        <v>75.433313687716009</v>
      </c>
      <c r="C154" s="11">
        <f>'FALL 3'!C154</f>
        <v>81</v>
      </c>
      <c r="D154" s="11">
        <f ca="1">IF(C154=0,"",(B154*0.01*(L37-L38)+L38))</f>
        <v>74.924647489430839</v>
      </c>
      <c r="E154" s="11"/>
      <c r="F154" s="11">
        <f ca="1">IF(D154="","",(EXP(((LN((D154/(100-D154))))-B50)/B51)))</f>
        <v>11.26781510161654</v>
      </c>
      <c r="G154" s="11">
        <f t="shared" ca="1" si="14"/>
        <v>74.924647489430839</v>
      </c>
      <c r="H154" s="50" t="str">
        <f ca="1">IF(I176=C154,I154,"")</f>
        <v/>
      </c>
      <c r="I154" s="52">
        <f t="shared" ca="1" si="15"/>
        <v>11.3</v>
      </c>
      <c r="J154" s="52"/>
      <c r="K154" s="52"/>
      <c r="L154" s="52"/>
      <c r="M154" s="52"/>
      <c r="N154" s="52"/>
      <c r="O154" s="52"/>
      <c r="P154" s="52"/>
      <c r="Q154" s="52"/>
      <c r="R154" s="52"/>
      <c r="S154" s="52"/>
      <c r="T154" s="52"/>
      <c r="U154" s="52"/>
      <c r="V154" s="52"/>
    </row>
    <row r="155" spans="1:22" x14ac:dyDescent="0.3">
      <c r="A155" s="11">
        <f ca="1">'FALL 3'!A155</f>
        <v>9.2836085325027931</v>
      </c>
      <c r="B155" s="11">
        <f ca="1">'FALL 3'!B155</f>
        <v>75.576022612968487</v>
      </c>
      <c r="C155" s="11">
        <f>'FALL 3'!C155</f>
        <v>82</v>
      </c>
      <c r="D155" s="11">
        <f ca="1">IF(C155=0,"",(B155*0.01*(L37-L38)+L38))</f>
        <v>75.064502236601726</v>
      </c>
      <c r="E155" s="11"/>
      <c r="F155" s="11">
        <f ca="1">IF(D155="","",(EXP(((LN((D155/(100-D155))))-B50)/B51)))</f>
        <v>11.30364270838872</v>
      </c>
      <c r="G155" s="11">
        <f t="shared" ca="1" si="14"/>
        <v>75.064502236601726</v>
      </c>
      <c r="H155" s="50" t="str">
        <f ca="1">IF(I176=C155,I155,"")</f>
        <v/>
      </c>
      <c r="I155" s="52">
        <f t="shared" ca="1" si="15"/>
        <v>11.3</v>
      </c>
      <c r="J155" s="52"/>
      <c r="K155" s="52"/>
      <c r="L155" s="52"/>
      <c r="M155" s="52"/>
      <c r="N155" s="52"/>
      <c r="O155" s="52"/>
      <c r="P155" s="52"/>
      <c r="Q155" s="52"/>
      <c r="R155" s="52"/>
      <c r="S155" s="52"/>
      <c r="T155" s="52"/>
      <c r="U155" s="52"/>
      <c r="V155" s="52"/>
    </row>
    <row r="156" spans="1:22" x14ac:dyDescent="0.3">
      <c r="A156" s="11">
        <f ca="1">'FALL 3'!A156</f>
        <v>50.172602681297342</v>
      </c>
      <c r="B156" s="11">
        <f ca="1">'FALL 3'!B156</f>
        <v>75.835971144184526</v>
      </c>
      <c r="C156" s="11">
        <f>'FALL 3'!C156</f>
        <v>83</v>
      </c>
      <c r="D156" s="11">
        <f ca="1">IF(C156=0,"",(B156*0.01*(L37-L38)+L38))</f>
        <v>75.31925179796481</v>
      </c>
      <c r="E156" s="11"/>
      <c r="F156" s="11">
        <f ca="1">IF(D156="","",(EXP(((LN((D156/(100-D156))))-B50)/B51)))</f>
        <v>11.36954606234386</v>
      </c>
      <c r="G156" s="11">
        <f t="shared" ca="1" si="14"/>
        <v>75.31925179796481</v>
      </c>
      <c r="H156" s="50" t="str">
        <f ca="1">IF(I176=C156,I156,"")</f>
        <v/>
      </c>
      <c r="I156" s="52">
        <f t="shared" ca="1" si="15"/>
        <v>11.4</v>
      </c>
      <c r="J156" s="52"/>
      <c r="K156" s="52"/>
      <c r="L156" s="52"/>
      <c r="M156" s="52"/>
      <c r="N156" s="52"/>
      <c r="O156" s="52"/>
      <c r="P156" s="52"/>
      <c r="Q156" s="52"/>
      <c r="R156" s="52"/>
      <c r="S156" s="52"/>
      <c r="T156" s="52"/>
      <c r="U156" s="52"/>
      <c r="V156" s="52"/>
    </row>
    <row r="157" spans="1:22" x14ac:dyDescent="0.3">
      <c r="A157" s="11">
        <f ca="1">'FALL 3'!A157</f>
        <v>66.653251272831909</v>
      </c>
      <c r="B157" s="11">
        <f ca="1">'FALL 3'!B157</f>
        <v>75.880495810393597</v>
      </c>
      <c r="C157" s="11">
        <f>'FALL 3'!C157</f>
        <v>84</v>
      </c>
      <c r="D157" s="11">
        <f ca="1">IF(C157=0,"",(B157*0.01*(L37-L38)+L38))</f>
        <v>75.362885970981822</v>
      </c>
      <c r="E157" s="11"/>
      <c r="F157" s="11">
        <f ca="1">IF(D157="","",(EXP(((LN((D157/(100-D157))))-B50)/B51)))</f>
        <v>11.380918553258454</v>
      </c>
      <c r="G157" s="11">
        <f t="shared" ca="1" si="14"/>
        <v>75.362885970981822</v>
      </c>
      <c r="H157" s="50" t="str">
        <f ca="1">IF(I176=C157,I157,"")</f>
        <v/>
      </c>
      <c r="I157" s="52">
        <f t="shared" ca="1" si="15"/>
        <v>11.4</v>
      </c>
      <c r="J157" s="52"/>
      <c r="K157" s="52"/>
      <c r="L157" s="52"/>
      <c r="M157" s="52"/>
      <c r="N157" s="52"/>
      <c r="O157" s="52"/>
      <c r="P157" s="52"/>
      <c r="Q157" s="52"/>
      <c r="R157" s="52"/>
      <c r="S157" s="52"/>
      <c r="T157" s="52"/>
      <c r="U157" s="52"/>
      <c r="V157" s="52"/>
    </row>
    <row r="158" spans="1:22" x14ac:dyDescent="0.3">
      <c r="A158" s="11">
        <f ca="1">'FALL 3'!A158</f>
        <v>82.127885467203029</v>
      </c>
      <c r="B158" s="11">
        <f ca="1">'FALL 3'!B158</f>
        <v>77.294214300749587</v>
      </c>
      <c r="C158" s="11">
        <f>'FALL 3'!C158</f>
        <v>85</v>
      </c>
      <c r="D158" s="11">
        <f ca="1">IF(C158=0,"",(B158*0.01*(L37-L38)+L38))</f>
        <v>76.748330095725663</v>
      </c>
      <c r="E158" s="11"/>
      <c r="F158" s="11">
        <f ca="1">IF(D158="","",(EXP(((LN((D158/(100-D158))))-B50)/B51)))</f>
        <v>11.755592481948781</v>
      </c>
      <c r="G158" s="11">
        <f t="shared" ca="1" si="14"/>
        <v>76.748330095725663</v>
      </c>
      <c r="H158" s="50" t="str">
        <f ca="1">IF(I176=C158,I158,"")</f>
        <v/>
      </c>
      <c r="I158" s="52">
        <f t="shared" ca="1" si="15"/>
        <v>11.8</v>
      </c>
      <c r="J158" s="52"/>
      <c r="K158" s="52"/>
      <c r="L158" s="52"/>
      <c r="M158" s="52"/>
      <c r="N158" s="52"/>
      <c r="O158" s="52"/>
      <c r="P158" s="52"/>
      <c r="Q158" s="52"/>
      <c r="R158" s="52"/>
      <c r="S158" s="52"/>
      <c r="T158" s="52"/>
      <c r="U158" s="52"/>
      <c r="V158" s="52"/>
    </row>
    <row r="159" spans="1:22" x14ac:dyDescent="0.3">
      <c r="A159" s="11">
        <f ca="1">'FALL 3'!A159</f>
        <v>92.069005416099401</v>
      </c>
      <c r="B159" s="11">
        <f ca="1">'FALL 3'!B159</f>
        <v>78.113730407507262</v>
      </c>
      <c r="C159" s="11">
        <f>'FALL 3'!C159</f>
        <v>86</v>
      </c>
      <c r="D159" s="11">
        <f ca="1">IF(C159=0,"",(B159*0.01*(L37-L38)+L38))</f>
        <v>77.551455882779962</v>
      </c>
      <c r="E159" s="11"/>
      <c r="F159" s="11">
        <f ca="1">IF(D159="","",(EXP(((LN((D159/(100-D159))))-B50)/B51)))</f>
        <v>11.98580697051765</v>
      </c>
      <c r="G159" s="11">
        <f t="shared" ca="1" si="14"/>
        <v>77.551455882779962</v>
      </c>
      <c r="H159" s="50" t="str">
        <f ca="1">IF(I176=C159,I159,"")</f>
        <v/>
      </c>
      <c r="I159" s="52">
        <f t="shared" ca="1" si="15"/>
        <v>12</v>
      </c>
      <c r="J159" s="52"/>
      <c r="K159" s="52"/>
      <c r="L159" s="52"/>
      <c r="M159" s="52"/>
      <c r="N159" s="52"/>
      <c r="O159" s="52"/>
      <c r="P159" s="52"/>
      <c r="Q159" s="52"/>
      <c r="R159" s="52"/>
      <c r="S159" s="52"/>
      <c r="T159" s="52"/>
      <c r="U159" s="52"/>
      <c r="V159" s="52"/>
    </row>
    <row r="160" spans="1:22" x14ac:dyDescent="0.3">
      <c r="A160" s="11">
        <f ca="1">'FALL 3'!A160</f>
        <v>3.6249997631134772</v>
      </c>
      <c r="B160" s="11">
        <f ca="1">'FALL 3'!B160</f>
        <v>79.584477650595773</v>
      </c>
      <c r="C160" s="11">
        <f>'FALL 3'!C160</f>
        <v>87</v>
      </c>
      <c r="D160" s="11">
        <f ca="1">IF(C160=0,"",(B160*0.01*(L37-L38)+L38))</f>
        <v>78.992788185370912</v>
      </c>
      <c r="E160" s="11"/>
      <c r="F160" s="11">
        <f ca="1">IF(D160="","",(EXP(((LN((D160/(100-D160))))-B50)/B51)))</f>
        <v>12.426228458424079</v>
      </c>
      <c r="G160" s="11">
        <f t="shared" ca="1" si="14"/>
        <v>78.992788185370912</v>
      </c>
      <c r="H160" s="50" t="str">
        <f ca="1">IF(I176=C160,I160,"")</f>
        <v/>
      </c>
      <c r="I160" s="52">
        <f t="shared" ca="1" si="15"/>
        <v>12.4</v>
      </c>
      <c r="J160" s="52"/>
      <c r="K160" s="52"/>
      <c r="L160" s="52"/>
      <c r="M160" s="52"/>
      <c r="N160" s="52"/>
      <c r="O160" s="52"/>
      <c r="P160" s="52"/>
      <c r="Q160" s="52"/>
      <c r="R160" s="52"/>
      <c r="S160" s="52"/>
      <c r="T160" s="52"/>
      <c r="U160" s="52"/>
      <c r="V160" s="52"/>
    </row>
    <row r="161" spans="1:22" x14ac:dyDescent="0.3">
      <c r="A161" s="11">
        <f ca="1">'FALL 3'!A161</f>
        <v>20.477118628301223</v>
      </c>
      <c r="B161" s="11">
        <f ca="1">'FALL 3'!B161</f>
        <v>82.127885467203029</v>
      </c>
      <c r="C161" s="11">
        <f>'FALL 3'!C161</f>
        <v>88</v>
      </c>
      <c r="D161" s="11">
        <f ca="1">IF(C161=0,"",(B161*0.01*(L37-L38)+L38))</f>
        <v>81.485327853193155</v>
      </c>
      <c r="E161" s="11"/>
      <c r="F161" s="11">
        <f ca="1">IF(D161="","",(EXP(((LN((D161/(100-D161))))-B50)/B51)))</f>
        <v>13.28714209283247</v>
      </c>
      <c r="G161" s="11">
        <f t="shared" ca="1" si="14"/>
        <v>81.485327853193155</v>
      </c>
      <c r="H161" s="50" t="str">
        <f ca="1">IF(I176=C161,I161,"")</f>
        <v/>
      </c>
      <c r="I161" s="52">
        <f t="shared" ca="1" si="15"/>
        <v>13.3</v>
      </c>
      <c r="J161" s="52"/>
      <c r="K161" s="52"/>
      <c r="L161" s="52"/>
      <c r="M161" s="52"/>
      <c r="N161" s="52"/>
      <c r="O161" s="52"/>
      <c r="P161" s="52"/>
      <c r="Q161" s="52"/>
      <c r="R161" s="52"/>
      <c r="S161" s="52"/>
      <c r="T161" s="52"/>
      <c r="U161" s="52"/>
      <c r="V161" s="52"/>
    </row>
    <row r="162" spans="1:22" x14ac:dyDescent="0.3">
      <c r="A162" s="11">
        <f ca="1">'FALL 3'!A162</f>
        <v>30.123378148520377</v>
      </c>
      <c r="B162" s="11">
        <f ca="1">'FALL 3'!B162</f>
        <v>82.170865037115789</v>
      </c>
      <c r="C162" s="11">
        <f>'FALL 3'!C162</f>
        <v>89</v>
      </c>
      <c r="D162" s="11">
        <f ca="1">IF(C162=0,"",(B162*0.01*(L37-L38)+L38))</f>
        <v>81.527447831835204</v>
      </c>
      <c r="E162" s="11"/>
      <c r="F162" s="11">
        <f ca="1">IF(D162="","",(EXP(((LN((D162/(100-D162))))-B50)/B51)))</f>
        <v>13.302956005812991</v>
      </c>
      <c r="G162" s="11">
        <f t="shared" ca="1" si="14"/>
        <v>81.527447831835204</v>
      </c>
      <c r="H162" s="50" t="str">
        <f ca="1">IF(I176=C162,I162,"")</f>
        <v/>
      </c>
      <c r="I162" s="52">
        <f t="shared" ca="1" si="15"/>
        <v>13.3</v>
      </c>
      <c r="J162" s="52"/>
      <c r="K162" s="52"/>
      <c r="L162" s="52"/>
      <c r="M162" s="52"/>
      <c r="N162" s="52"/>
      <c r="O162" s="52"/>
      <c r="P162" s="52"/>
      <c r="Q162" s="52"/>
      <c r="R162" s="52"/>
      <c r="S162" s="52"/>
      <c r="T162" s="52"/>
      <c r="U162" s="52"/>
      <c r="V162" s="52"/>
    </row>
    <row r="163" spans="1:22" x14ac:dyDescent="0.3">
      <c r="A163" s="11">
        <f ca="1">'FALL 3'!A163</f>
        <v>98.068589609092214</v>
      </c>
      <c r="B163" s="11">
        <f ca="1">'FALL 3'!B163</f>
        <v>82.652071906329411</v>
      </c>
      <c r="C163" s="11">
        <f>'FALL 3'!C163</f>
        <v>90</v>
      </c>
      <c r="D163" s="11">
        <f ca="1">IF(C163=0,"",(B163*0.01*(L37-L38)+L38))</f>
        <v>81.999030565092454</v>
      </c>
      <c r="E163" s="11"/>
      <c r="F163" s="11">
        <f ca="1">IF(D163="","",(EXP(((LN((D163/(100-D163))))-B50)/B51)))</f>
        <v>13.483266739561776</v>
      </c>
      <c r="G163" s="11">
        <f t="shared" ca="1" si="14"/>
        <v>81.999030565092454</v>
      </c>
      <c r="H163" s="50" t="str">
        <f ca="1">IF(I176=C163,I163,"")</f>
        <v/>
      </c>
      <c r="I163" s="52">
        <f t="shared" ca="1" si="15"/>
        <v>13.5</v>
      </c>
      <c r="J163" s="52"/>
      <c r="K163" s="52"/>
      <c r="L163" s="52"/>
      <c r="M163" s="52"/>
      <c r="N163" s="52"/>
      <c r="O163" s="52"/>
      <c r="P163" s="52"/>
      <c r="Q163" s="52"/>
      <c r="R163" s="52"/>
      <c r="S163" s="52"/>
      <c r="T163" s="52"/>
      <c r="U163" s="52"/>
      <c r="V163" s="52"/>
    </row>
    <row r="164" spans="1:22" x14ac:dyDescent="0.3">
      <c r="A164" s="11">
        <f ca="1">'FALL 3'!A164</f>
        <v>26.935136806361843</v>
      </c>
      <c r="B164" s="11">
        <f ca="1">'FALL 3'!B164</f>
        <v>82.996098998149179</v>
      </c>
      <c r="C164" s="11">
        <f>'FALL 3'!C164</f>
        <v>91</v>
      </c>
      <c r="D164" s="11">
        <f ca="1">IF(C164=0,"",(B164*0.01*(L37-L38)+L38))</f>
        <v>82.336177116096664</v>
      </c>
      <c r="E164" s="11"/>
      <c r="F164" s="11">
        <f ca="1">IF(D164="","",(EXP(((LN((D164/(100-D164))))-B50)/B51)))</f>
        <v>13.615980956183868</v>
      </c>
      <c r="G164" s="11">
        <f t="shared" ca="1" si="14"/>
        <v>82.336177116096664</v>
      </c>
      <c r="H164" s="50" t="str">
        <f ca="1">IF(I176=C164,I164,"")</f>
        <v/>
      </c>
      <c r="I164" s="52">
        <f t="shared" ca="1" si="15"/>
        <v>13.6</v>
      </c>
      <c r="J164" s="52"/>
      <c r="K164" s="52"/>
      <c r="L164" s="52"/>
      <c r="M164" s="52"/>
      <c r="N164" s="52"/>
      <c r="O164" s="52"/>
      <c r="P164" s="52"/>
      <c r="Q164" s="52"/>
      <c r="R164" s="52"/>
      <c r="S164" s="52"/>
      <c r="T164" s="52"/>
      <c r="U164" s="52"/>
      <c r="V164" s="52"/>
    </row>
    <row r="165" spans="1:22" x14ac:dyDescent="0.3">
      <c r="A165" s="11">
        <f ca="1">'FALL 3'!A165</f>
        <v>4.3786339455653129</v>
      </c>
      <c r="B165" s="11">
        <f ca="1">'FALL 3'!B165</f>
        <v>88.960234235886745</v>
      </c>
      <c r="C165" s="11">
        <f>'FALL 3'!C165</f>
        <v>92</v>
      </c>
      <c r="D165" s="11">
        <f ca="1">IF(C165=0,"",(B165*0.01*(L37-L38)+L38))</f>
        <v>88.181029666777064</v>
      </c>
      <c r="E165" s="11"/>
      <c r="F165" s="11">
        <f ca="1">IF(D165="","",(EXP(((LN((D165/(100-D165))))-B50)/B51)))</f>
        <v>16.63447730431357</v>
      </c>
      <c r="G165" s="11">
        <f t="shared" ca="1" si="14"/>
        <v>88.181029666777064</v>
      </c>
      <c r="H165" s="50" t="str">
        <f ca="1">IF(I176=C165,I165,"")</f>
        <v/>
      </c>
      <c r="I165" s="52">
        <f t="shared" ca="1" si="15"/>
        <v>16.600000000000001</v>
      </c>
      <c r="J165" s="52"/>
      <c r="K165" s="52"/>
      <c r="L165" s="52"/>
      <c r="M165" s="52"/>
      <c r="N165" s="52"/>
      <c r="O165" s="52"/>
      <c r="P165" s="52"/>
      <c r="Q165" s="52"/>
      <c r="R165" s="52"/>
      <c r="S165" s="52"/>
      <c r="T165" s="52"/>
      <c r="U165" s="52"/>
      <c r="V165" s="52"/>
    </row>
    <row r="166" spans="1:22" x14ac:dyDescent="0.3">
      <c r="A166" s="11">
        <f ca="1">'FALL 3'!A166</f>
        <v>79.584477650595773</v>
      </c>
      <c r="B166" s="11">
        <f ca="1">'FALL 3'!B166</f>
        <v>89.472758160042972</v>
      </c>
      <c r="C166" s="11">
        <f>'FALL 3'!C166</f>
        <v>93</v>
      </c>
      <c r="D166" s="11">
        <f ca="1">IF(C166=0,"",(B166*0.01*(L37-L38)+L38))</f>
        <v>88.683303113971007</v>
      </c>
      <c r="E166" s="11"/>
      <c r="F166" s="11">
        <f ca="1">IF(D166="","",(EXP(((LN((D166/(100-D166))))-B50)/B51)))</f>
        <v>16.98585087712506</v>
      </c>
      <c r="G166" s="11">
        <f t="shared" ca="1" si="14"/>
        <v>88.683303113971007</v>
      </c>
      <c r="H166" s="50" t="str">
        <f ca="1">IF(I176=C166,I166,"")</f>
        <v/>
      </c>
      <c r="I166" s="52">
        <f t="shared" ca="1" si="15"/>
        <v>17</v>
      </c>
      <c r="J166" s="52"/>
      <c r="K166" s="52"/>
      <c r="L166" s="52"/>
      <c r="M166" s="52"/>
      <c r="N166" s="52"/>
      <c r="O166" s="52"/>
      <c r="P166" s="52"/>
      <c r="Q166" s="52"/>
      <c r="R166" s="52"/>
      <c r="S166" s="52"/>
      <c r="T166" s="52"/>
      <c r="U166" s="52"/>
      <c r="V166" s="52"/>
    </row>
    <row r="167" spans="1:22" x14ac:dyDescent="0.3">
      <c r="A167" s="11">
        <f ca="1">'FALL 3'!A167</f>
        <v>45.645021212545792</v>
      </c>
      <c r="B167" s="11">
        <f ca="1">'FALL 3'!B167</f>
        <v>91.754603360121138</v>
      </c>
      <c r="C167" s="11">
        <f>'FALL 3'!C167</f>
        <v>94</v>
      </c>
      <c r="D167" s="11">
        <f ca="1">IF(C167=0,"",(B167*0.01*(L37-L38)+L38))</f>
        <v>90.919511416818594</v>
      </c>
      <c r="E167" s="11"/>
      <c r="F167" s="11">
        <f ca="1">IF(D167="","",(EXP(((LN((D167/(100-D167))))-B50)/B51)))</f>
        <v>18.853400417637523</v>
      </c>
      <c r="G167" s="11">
        <f t="shared" ca="1" si="14"/>
        <v>90.919511416818594</v>
      </c>
      <c r="H167" s="50" t="str">
        <f ca="1">IF(I176=C167,I167,"")</f>
        <v/>
      </c>
      <c r="I167" s="52">
        <f t="shared" ca="1" si="15"/>
        <v>18.899999999999999</v>
      </c>
      <c r="J167" s="52"/>
      <c r="K167" s="52"/>
      <c r="L167" s="52"/>
      <c r="M167" s="52"/>
      <c r="N167" s="52"/>
      <c r="O167" s="52"/>
      <c r="P167" s="52"/>
      <c r="Q167" s="52"/>
      <c r="R167" s="52"/>
      <c r="S167" s="52"/>
      <c r="T167" s="52"/>
      <c r="U167" s="52"/>
      <c r="V167" s="52"/>
    </row>
    <row r="168" spans="1:22" x14ac:dyDescent="0.3">
      <c r="A168" s="11">
        <f ca="1">'FALL 3'!A168</f>
        <v>45.096774778301601</v>
      </c>
      <c r="B168" s="11">
        <f ca="1">'FALL 3'!B168</f>
        <v>92.069005416099401</v>
      </c>
      <c r="C168" s="11">
        <f>'FALL 3'!C168</f>
        <v>95</v>
      </c>
      <c r="D168" s="11">
        <f ca="1">IF(C168=0,"",(B168*0.01*(L37-L38)+L38))</f>
        <v>91.227625432610239</v>
      </c>
      <c r="E168" s="11"/>
      <c r="F168" s="11">
        <f ca="1">IF(D168="","",(EXP(((LN((D168/(100-D168))))-B50)/B51)))</f>
        <v>19.16005752937161</v>
      </c>
      <c r="G168" s="11">
        <f t="shared" ca="1" si="14"/>
        <v>91.227625432610239</v>
      </c>
      <c r="H168" s="50" t="str">
        <f ca="1">IF(I176=C168,I168,"")</f>
        <v/>
      </c>
      <c r="I168" s="52">
        <f t="shared" ca="1" si="15"/>
        <v>19.2</v>
      </c>
      <c r="J168" s="52"/>
      <c r="K168" s="52"/>
      <c r="L168" s="52"/>
      <c r="M168" s="52"/>
      <c r="N168" s="52"/>
      <c r="O168" s="52"/>
      <c r="P168" s="52"/>
      <c r="Q168" s="52"/>
      <c r="R168" s="52"/>
      <c r="S168" s="52"/>
      <c r="T168" s="52"/>
      <c r="U168" s="52"/>
      <c r="V168" s="52"/>
    </row>
    <row r="169" spans="1:22" x14ac:dyDescent="0.3">
      <c r="A169" s="11">
        <f ca="1">'FALL 3'!A169</f>
        <v>70.917425780520034</v>
      </c>
      <c r="B169" s="11">
        <f ca="1">'FALL 3'!B169</f>
        <v>93.945212033707335</v>
      </c>
      <c r="C169" s="11">
        <f>'FALL 3'!C169</f>
        <v>96</v>
      </c>
      <c r="D169" s="11">
        <f ca="1">IF(C169=0,"",(B169*0.01*(L37-L38)+L38))</f>
        <v>93.066307923433342</v>
      </c>
      <c r="E169" s="11"/>
      <c r="F169" s="11">
        <f ca="1">IF(D169="","",(EXP(((LN((D169/(100-D169))))-B50)/B51)))</f>
        <v>21.35842289060551</v>
      </c>
      <c r="G169" s="11">
        <f t="shared" ca="1" si="14"/>
        <v>93.066307923433342</v>
      </c>
      <c r="H169" s="50" t="str">
        <f ca="1">IF(I176=C169,I169,"")</f>
        <v/>
      </c>
      <c r="I169" s="52">
        <f t="shared" ca="1" si="15"/>
        <v>21.4</v>
      </c>
      <c r="J169" s="52"/>
      <c r="K169" s="52"/>
      <c r="L169" s="52"/>
      <c r="M169" s="52"/>
      <c r="N169" s="52"/>
      <c r="O169" s="52"/>
      <c r="P169" s="52"/>
      <c r="Q169" s="52"/>
      <c r="R169" s="52"/>
      <c r="S169" s="52"/>
      <c r="T169" s="52"/>
      <c r="U169" s="52"/>
      <c r="V169" s="52"/>
    </row>
    <row r="170" spans="1:22" x14ac:dyDescent="0.3">
      <c r="A170" s="11">
        <f ca="1">'FALL 3'!A170</f>
        <v>91.754603360121138</v>
      </c>
      <c r="B170" s="11">
        <f ca="1">'FALL 3'!B170</f>
        <v>95.286660752850921</v>
      </c>
      <c r="C170" s="11">
        <f>'FALL 3'!C170</f>
        <v>97</v>
      </c>
      <c r="D170" s="11">
        <f ca="1">IF(C170=0,"",(B170*0.01*(L37-L38)+L38))</f>
        <v>94.380927672174593</v>
      </c>
      <c r="E170" s="11"/>
      <c r="F170" s="11">
        <f ca="1">IF(D170="","",(EXP(((LN((D170/(100-D170))))-B50)/B51)))</f>
        <v>23.497737253053824</v>
      </c>
      <c r="G170" s="11">
        <f t="shared" ca="1" si="14"/>
        <v>94.380927672174593</v>
      </c>
      <c r="H170" s="50" t="str">
        <f ca="1">IF(I176=C170,I170,"")</f>
        <v/>
      </c>
      <c r="I170" s="52">
        <f t="shared" ca="1" si="15"/>
        <v>23.5</v>
      </c>
      <c r="J170" s="52"/>
      <c r="K170" s="52"/>
      <c r="L170" s="52"/>
      <c r="M170" s="52"/>
      <c r="N170" s="52"/>
      <c r="O170" s="52"/>
      <c r="P170" s="52"/>
      <c r="Q170" s="52"/>
      <c r="R170" s="52"/>
      <c r="S170" s="52"/>
      <c r="T170" s="52"/>
      <c r="U170" s="52"/>
      <c r="V170" s="52"/>
    </row>
    <row r="171" spans="1:22" x14ac:dyDescent="0.3">
      <c r="A171" s="11">
        <f ca="1">'FALL 3'!A171</f>
        <v>70.170321861690041</v>
      </c>
      <c r="B171" s="11">
        <f ca="1">'FALL 3'!B171</f>
        <v>96.792694727048797</v>
      </c>
      <c r="C171" s="11">
        <f>'FALL 3'!C171</f>
        <v>98</v>
      </c>
      <c r="D171" s="11">
        <f ca="1">IF(C171=0,"",(B171*0.01*(L37-L38)+L38))</f>
        <v>95.856840971357414</v>
      </c>
      <c r="E171" s="11"/>
      <c r="F171" s="11">
        <f ca="1">IF(D171="","",(EXP(((LN((D171/(100-D171))))-B50)/B51)))</f>
        <v>26.929294731304608</v>
      </c>
      <c r="G171" s="11">
        <f t="shared" ca="1" si="14"/>
        <v>95.856840971357414</v>
      </c>
      <c r="H171" s="50" t="str">
        <f ca="1">IF(I176=C171,I171,"")</f>
        <v/>
      </c>
      <c r="I171" s="52">
        <f t="shared" ca="1" si="15"/>
        <v>26.9</v>
      </c>
      <c r="J171" s="52"/>
      <c r="K171" s="52"/>
      <c r="L171" s="52"/>
      <c r="M171" s="52"/>
      <c r="N171" s="52"/>
      <c r="O171" s="52"/>
      <c r="P171" s="52"/>
      <c r="Q171" s="52"/>
      <c r="R171" s="52"/>
      <c r="S171" s="52"/>
      <c r="T171" s="52"/>
      <c r="U171" s="52"/>
      <c r="V171" s="52"/>
    </row>
    <row r="172" spans="1:22" x14ac:dyDescent="0.3">
      <c r="A172" s="11">
        <f ca="1">'FALL 3'!A172</f>
        <v>3.6181460197162254</v>
      </c>
      <c r="B172" s="11">
        <f ca="1">'FALL 3'!B172</f>
        <v>98.068589609092214</v>
      </c>
      <c r="C172" s="11">
        <f>'FALL 3'!C172</f>
        <v>99</v>
      </c>
      <c r="D172" s="11">
        <f ca="1">IF(C172=0,"",(B172*0.01*(L37-L38)+L38))</f>
        <v>97.107217959545963</v>
      </c>
      <c r="E172" s="11"/>
      <c r="F172" s="11">
        <f ca="1">IF(D172="","",(EXP(((LN((D172/(100-D172))))-B50)/B51)))</f>
        <v>31.552395926220004</v>
      </c>
      <c r="G172" s="11">
        <f t="shared" ca="1" si="14"/>
        <v>97.107217959545963</v>
      </c>
      <c r="H172" s="50" t="str">
        <f ca="1">IF(I176=C172,I172,"")</f>
        <v/>
      </c>
      <c r="I172" s="52">
        <f t="shared" ca="1" si="15"/>
        <v>31.6</v>
      </c>
      <c r="J172" s="52"/>
      <c r="K172" s="52"/>
      <c r="L172" s="52"/>
      <c r="M172" s="52"/>
      <c r="N172" s="52"/>
      <c r="O172" s="52"/>
      <c r="P172" s="52"/>
      <c r="Q172" s="52"/>
      <c r="R172" s="52"/>
      <c r="S172" s="52"/>
      <c r="T172" s="52"/>
      <c r="U172" s="52"/>
      <c r="V172" s="52"/>
    </row>
    <row r="173" spans="1:22" x14ac:dyDescent="0.3">
      <c r="A173" s="11">
        <f ca="1">'FALL 3'!A173</f>
        <v>61.705597331283826</v>
      </c>
      <c r="B173" s="11">
        <f ca="1">'FALL 3'!B173</f>
        <v>98.808316937464056</v>
      </c>
      <c r="C173" s="11">
        <f>'FALL 3'!C173</f>
        <v>100</v>
      </c>
      <c r="D173" s="11">
        <f ca="1">IF(C173=0,"",(B173*0.01*(L37-L38)+L38))</f>
        <v>97.832150743545398</v>
      </c>
      <c r="E173" s="11"/>
      <c r="F173" s="11">
        <f ca="1">IF(D173="","",(EXP(((LN((D173/(100-D173))))-B50)/B51)))</f>
        <v>35.788067291960701</v>
      </c>
      <c r="G173" s="11">
        <f t="shared" ca="1" si="14"/>
        <v>97.832150743545398</v>
      </c>
      <c r="H173" s="50" t="str">
        <f ca="1">IF(I176=C173,I173,"")</f>
        <v/>
      </c>
      <c r="I173" s="52">
        <f t="shared" ca="1" si="15"/>
        <v>35.799999999999997</v>
      </c>
      <c r="J173" s="52"/>
      <c r="K173" s="52"/>
      <c r="L173" s="52"/>
      <c r="M173" s="52"/>
      <c r="N173" s="52"/>
      <c r="O173" s="52"/>
      <c r="P173" s="52"/>
      <c r="Q173" s="52"/>
      <c r="R173" s="52"/>
      <c r="S173" s="52"/>
      <c r="T173" s="52"/>
      <c r="U173" s="52"/>
      <c r="V173" s="52"/>
    </row>
    <row r="174" spans="1:22" x14ac:dyDescent="0.3">
      <c r="H174" s="11"/>
      <c r="I174" s="52"/>
      <c r="J174" s="52"/>
      <c r="K174" s="52"/>
      <c r="L174" s="52"/>
      <c r="M174" s="52"/>
      <c r="N174" s="52"/>
      <c r="O174" s="52"/>
      <c r="P174" s="52"/>
      <c r="Q174" s="52"/>
      <c r="R174" s="52"/>
      <c r="S174" s="52"/>
      <c r="T174" s="52"/>
      <c r="U174" s="52"/>
      <c r="V174" s="52"/>
    </row>
    <row r="175" spans="1:22" x14ac:dyDescent="0.3">
      <c r="H175" s="11"/>
      <c r="I175" s="52"/>
      <c r="J175" s="52"/>
      <c r="K175" s="52"/>
      <c r="L175" s="52"/>
      <c r="M175" s="52"/>
      <c r="N175" s="52"/>
      <c r="O175" s="52"/>
      <c r="P175" s="52"/>
      <c r="Q175" s="52"/>
      <c r="R175" s="52"/>
      <c r="S175" s="52"/>
      <c r="T175" s="52"/>
      <c r="U175" s="52"/>
      <c r="V175" s="52"/>
    </row>
    <row r="176" spans="1:22" x14ac:dyDescent="0.3">
      <c r="H176" s="50">
        <f ca="1">MAX(H74:H173)</f>
        <v>6.2</v>
      </c>
      <c r="I176" s="53">
        <f ca="1">ROUND(RAND()*(99-1)+1,0)</f>
        <v>46</v>
      </c>
      <c r="J176" s="52"/>
      <c r="K176" s="52"/>
      <c r="L176" s="52"/>
      <c r="M176" s="52"/>
      <c r="N176" s="52"/>
      <c r="O176" s="52"/>
      <c r="P176" s="52"/>
      <c r="Q176" s="52"/>
      <c r="R176" s="52"/>
      <c r="S176" s="52"/>
      <c r="T176" s="52"/>
      <c r="U176" s="52"/>
      <c r="V176" s="52"/>
    </row>
    <row r="177" spans="9:22" x14ac:dyDescent="0.3">
      <c r="I177" s="52"/>
      <c r="J177" s="52"/>
      <c r="K177" s="52"/>
      <c r="L177" s="52"/>
      <c r="M177" s="52"/>
      <c r="N177" s="52"/>
      <c r="O177" s="52"/>
      <c r="P177" s="52"/>
      <c r="Q177" s="52"/>
      <c r="R177" s="52"/>
      <c r="S177" s="52"/>
      <c r="T177" s="52"/>
      <c r="U177" s="52"/>
      <c r="V177" s="52"/>
    </row>
    <row r="178" spans="9:22" x14ac:dyDescent="0.3">
      <c r="I178" s="52"/>
      <c r="J178" s="52"/>
      <c r="K178" s="52"/>
      <c r="L178" s="52"/>
      <c r="M178" s="52"/>
      <c r="N178" s="52"/>
      <c r="O178" s="52"/>
      <c r="P178" s="52"/>
      <c r="Q178" s="52"/>
      <c r="R178" s="52"/>
      <c r="S178" s="52"/>
      <c r="T178" s="52"/>
      <c r="U178" s="52"/>
      <c r="V178" s="52"/>
    </row>
    <row r="179" spans="9:22" x14ac:dyDescent="0.3">
      <c r="I179" s="52"/>
      <c r="J179" s="52"/>
      <c r="K179" s="52"/>
      <c r="L179" s="52"/>
      <c r="M179" s="52"/>
      <c r="N179" s="52"/>
      <c r="O179" s="52"/>
      <c r="P179" s="52"/>
      <c r="Q179" s="52"/>
      <c r="R179" s="52"/>
      <c r="S179" s="52"/>
      <c r="T179" s="52"/>
      <c r="U179" s="52"/>
      <c r="V179" s="52"/>
    </row>
    <row r="180" spans="9:22" x14ac:dyDescent="0.3">
      <c r="I180" s="52"/>
      <c r="J180" s="52"/>
      <c r="K180" s="52"/>
      <c r="L180" s="52"/>
      <c r="M180" s="52"/>
      <c r="N180" s="52"/>
      <c r="O180" s="52"/>
      <c r="P180" s="52"/>
      <c r="Q180" s="52"/>
      <c r="R180" s="52"/>
      <c r="S180" s="52"/>
      <c r="T180" s="52"/>
      <c r="U180" s="52"/>
      <c r="V180" s="52"/>
    </row>
    <row r="181" spans="9:22" x14ac:dyDescent="0.3">
      <c r="I181" s="52"/>
      <c r="J181" s="52"/>
      <c r="K181" s="52"/>
      <c r="L181" s="52"/>
      <c r="M181" s="52"/>
      <c r="N181" s="52"/>
      <c r="O181" s="52"/>
      <c r="P181" s="52"/>
      <c r="Q181" s="52"/>
      <c r="R181" s="52"/>
      <c r="S181" s="52"/>
      <c r="T181" s="52"/>
      <c r="U181" s="52"/>
      <c r="V181" s="52"/>
    </row>
    <row r="182" spans="9:22" x14ac:dyDescent="0.3">
      <c r="I182" s="52"/>
      <c r="J182" s="52"/>
      <c r="K182" s="52"/>
      <c r="L182" s="52"/>
      <c r="M182" s="52"/>
      <c r="N182" s="52"/>
      <c r="O182" s="52"/>
      <c r="P182" s="52"/>
      <c r="Q182" s="52"/>
      <c r="R182" s="52"/>
      <c r="S182" s="52"/>
      <c r="T182" s="52"/>
      <c r="U182" s="52"/>
      <c r="V182" s="52"/>
    </row>
    <row r="183" spans="9:22" x14ac:dyDescent="0.3">
      <c r="I183" s="52"/>
      <c r="J183" s="52"/>
      <c r="K183" s="52"/>
      <c r="L183" s="52"/>
      <c r="M183" s="52"/>
      <c r="N183" s="52"/>
      <c r="O183" s="52"/>
      <c r="P183" s="52"/>
      <c r="Q183" s="52"/>
      <c r="R183" s="52"/>
      <c r="S183" s="52"/>
      <c r="T183" s="52"/>
      <c r="U183" s="52"/>
      <c r="V183" s="52"/>
    </row>
    <row r="184" spans="9:22" x14ac:dyDescent="0.3">
      <c r="I184" s="52"/>
      <c r="J184" s="52"/>
      <c r="K184" s="52"/>
      <c r="L184" s="54"/>
      <c r="M184" s="54"/>
      <c r="N184" s="52"/>
      <c r="O184" s="52"/>
      <c r="P184" s="52"/>
      <c r="Q184" s="54"/>
      <c r="R184" s="54"/>
      <c r="S184" s="52"/>
      <c r="T184" s="52"/>
      <c r="U184" s="52"/>
      <c r="V184" s="52"/>
    </row>
    <row r="185" spans="9:22" x14ac:dyDescent="0.3">
      <c r="I185" s="52"/>
      <c r="J185" s="52"/>
      <c r="K185" s="52"/>
      <c r="L185" s="52"/>
      <c r="M185" s="52"/>
      <c r="N185" s="52"/>
      <c r="O185" s="52"/>
      <c r="P185" s="52"/>
      <c r="Q185" s="52"/>
      <c r="R185" s="52"/>
      <c r="S185" s="52"/>
      <c r="T185" s="52"/>
      <c r="U185" s="52"/>
      <c r="V185" s="52"/>
    </row>
    <row r="236" spans="5:7" x14ac:dyDescent="0.3">
      <c r="E236" s="11"/>
      <c r="F236" s="11"/>
      <c r="G236" s="11"/>
    </row>
    <row r="237" spans="5:7" x14ac:dyDescent="0.3">
      <c r="E237" s="11"/>
      <c r="F237" s="11"/>
      <c r="G237" s="11"/>
    </row>
    <row r="238" spans="5:7" x14ac:dyDescent="0.3">
      <c r="E238" s="11"/>
      <c r="F238" s="11"/>
      <c r="G238" s="11"/>
    </row>
    <row r="239" spans="5:7" x14ac:dyDescent="0.3">
      <c r="E239" s="11"/>
      <c r="F239" s="11"/>
      <c r="G239" s="11"/>
    </row>
    <row r="240" spans="5:7" x14ac:dyDescent="0.3">
      <c r="E240" s="11"/>
      <c r="F240" s="11"/>
      <c r="G240" s="11"/>
    </row>
    <row r="241" spans="5:7" x14ac:dyDescent="0.3">
      <c r="E241" s="11"/>
      <c r="F241" s="11"/>
      <c r="G241" s="11"/>
    </row>
    <row r="242" spans="5:7" x14ac:dyDescent="0.3">
      <c r="E242" s="11"/>
      <c r="F242" s="11"/>
      <c r="G242" s="11"/>
    </row>
    <row r="243" spans="5:7" x14ac:dyDescent="0.3">
      <c r="E243" s="11"/>
      <c r="F243" s="11"/>
      <c r="G243" s="11"/>
    </row>
    <row r="244" spans="5:7" x14ac:dyDescent="0.3">
      <c r="E244" s="11"/>
      <c r="F244" s="11"/>
      <c r="G244" s="11"/>
    </row>
    <row r="245" spans="5:7" x14ac:dyDescent="0.3">
      <c r="E245" s="11"/>
      <c r="F245" s="11"/>
      <c r="G245" s="11"/>
    </row>
    <row r="246" spans="5:7" x14ac:dyDescent="0.3">
      <c r="E246" s="11"/>
      <c r="F246" s="11"/>
      <c r="G246" s="11"/>
    </row>
    <row r="247" spans="5:7" x14ac:dyDescent="0.3">
      <c r="E247" s="11"/>
      <c r="F247" s="11"/>
      <c r="G247" s="11"/>
    </row>
  </sheetData>
  <sortState xmlns:xlrd2="http://schemas.microsoft.com/office/spreadsheetml/2017/richdata2" ref="G111:G113">
    <sortCondition ref="G111"/>
  </sortState>
  <mergeCells count="9">
    <mergeCell ref="A1:D1"/>
    <mergeCell ref="A2:D2"/>
    <mergeCell ref="J3:N3"/>
    <mergeCell ref="E4:G4"/>
    <mergeCell ref="E5:F5"/>
    <mergeCell ref="G5:H5"/>
    <mergeCell ref="I5:J5"/>
    <mergeCell ref="K5:L5"/>
    <mergeCell ref="M5:N5"/>
  </mergeCells>
  <dataValidations count="4">
    <dataValidation type="decimal" allowBlank="1" showInputMessage="1" showErrorMessage="1" sqref="B48" xr:uid="{BC7DC090-9640-44DE-AA36-F14CDB0A6676}">
      <formula1>(B45)</formula1>
      <formula2>(D45)</formula2>
    </dataValidation>
    <dataValidation type="decimal" allowBlank="1" showInputMessage="1" showErrorMessage="1" sqref="B49 B26" xr:uid="{0DAA20C9-0390-448E-A19E-C48BBC8A3516}">
      <formula1>1</formula1>
      <formula2>99</formula2>
    </dataValidation>
    <dataValidation type="decimal" allowBlank="1" showInputMessage="1" showErrorMessage="1" sqref="B25" xr:uid="{937A3A54-0722-42C0-9D29-D51578274766}">
      <formula1>(B23)</formula1>
      <formula2>(D23)</formula2>
    </dataValidation>
    <dataValidation type="whole" operator="equal" allowBlank="1" showInputMessage="1" showErrorMessage="1" sqref="P3:T22" xr:uid="{E2C1C4E3-1E50-4530-B0A7-C7E05ED8E8FC}">
      <formula1>100000</formula1>
    </dataValidation>
  </dataValidations>
  <pageMargins left="0.7" right="0.7" top="0.78740157499999996" bottom="0.78740157499999996" header="0.3" footer="0.3"/>
  <pageSetup paperSize="9" scale="95" orientation="landscape" horizontalDpi="4294967293" verticalDpi="4294967293" r:id="rId1"/>
  <ignoredErrors>
    <ignoredError sqref="R1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47"/>
  <sheetViews>
    <sheetView topLeftCell="C1" zoomScale="132" workbookViewId="0">
      <selection activeCell="D137" sqref="D137"/>
    </sheetView>
  </sheetViews>
  <sheetFormatPr baseColWidth="10" defaultRowHeight="14.4" x14ac:dyDescent="0.3"/>
  <cols>
    <col min="1" max="1" width="38.44140625" style="9" customWidth="1"/>
    <col min="2" max="2" width="23.33203125" style="9" customWidth="1"/>
    <col min="3" max="3" width="25" style="9" customWidth="1"/>
    <col min="4" max="4" width="25.6640625" style="9" customWidth="1"/>
    <col min="5" max="5" width="19.21875" style="9" customWidth="1"/>
    <col min="6" max="6" width="11.21875" style="9" customWidth="1"/>
    <col min="7" max="7" width="12" style="9" customWidth="1"/>
    <col min="8" max="8" width="12.88671875" style="9" customWidth="1"/>
    <col min="9" max="9" width="10.109375" style="9" customWidth="1"/>
    <col min="10" max="10" width="11.5546875" style="9"/>
    <col min="11" max="11" width="10.6640625" style="9" customWidth="1"/>
    <col min="12" max="12" width="11.5546875" style="9"/>
    <col min="13" max="13" width="9.6640625" style="9" customWidth="1"/>
    <col min="14" max="14" width="13.5546875" style="9" customWidth="1"/>
    <col min="15" max="15" width="14.109375" style="9" customWidth="1"/>
    <col min="16" max="16" width="17.6640625" style="9" customWidth="1"/>
    <col min="17" max="17" width="20.33203125" style="9" customWidth="1"/>
    <col min="18" max="18" width="23.77734375" style="9" customWidth="1"/>
    <col min="19" max="19" width="23.5546875" style="9" customWidth="1"/>
    <col min="20" max="20" width="18.6640625" style="9" customWidth="1"/>
    <col min="21" max="16384" width="11.5546875" style="9"/>
  </cols>
  <sheetData>
    <row r="1" spans="1:24" ht="18" x14ac:dyDescent="0.35">
      <c r="A1" s="161" t="str">
        <f>'FALL 4'!$A$1</f>
        <v>ABFRAGE DER UNTERSCHREITUNGSHÄUFIGKEIT EINER GEZOGENEN ZUFALLSZAHL</v>
      </c>
      <c r="B1" s="169"/>
      <c r="C1" s="169"/>
      <c r="D1" s="170"/>
      <c r="E1" s="6"/>
      <c r="F1" s="7"/>
      <c r="G1" s="7"/>
      <c r="H1" s="7"/>
      <c r="I1" s="7"/>
      <c r="J1" s="7"/>
      <c r="K1" s="7"/>
      <c r="L1" s="7"/>
      <c r="M1" s="7"/>
      <c r="N1" s="8"/>
    </row>
    <row r="2" spans="1:24" ht="18" x14ac:dyDescent="0.35">
      <c r="A2" s="159" t="str">
        <f>'FALL 4'!$A$2</f>
        <v>INNERHALB DES FESTGELEGTEN ENTNAHMEBEREICHS</v>
      </c>
      <c r="B2" s="171"/>
      <c r="C2" s="171"/>
      <c r="D2" s="172"/>
      <c r="E2" s="10" t="str">
        <f>'FALL 1'!E2</f>
        <v>BANDBREITE DER URNE von</v>
      </c>
      <c r="F2" s="11"/>
      <c r="G2" s="12">
        <f>'FALL 1'!G2</f>
        <v>1</v>
      </c>
      <c r="H2" s="13" t="str">
        <f>'FALL 1'!H2</f>
        <v>bis</v>
      </c>
      <c r="I2" s="12">
        <f>'FALL 1'!I2</f>
        <v>50</v>
      </c>
      <c r="J2" s="14"/>
      <c r="K2" s="14"/>
      <c r="L2" s="14"/>
      <c r="M2" s="14"/>
      <c r="N2" s="15"/>
      <c r="O2" s="16" t="s">
        <v>144</v>
      </c>
      <c r="P2" s="17"/>
      <c r="Q2" s="17" t="s">
        <v>150</v>
      </c>
      <c r="R2" s="17" t="s">
        <v>146</v>
      </c>
      <c r="S2" s="18"/>
      <c r="T2" s="17"/>
      <c r="U2" s="17"/>
    </row>
    <row r="3" spans="1:24" ht="15.6" customHeight="1" x14ac:dyDescent="0.45">
      <c r="A3" s="19"/>
      <c r="D3" s="20"/>
      <c r="E3" s="10" t="str">
        <f>'FALL 1'!E3</f>
        <v>ZUFALLSZAHLEN von</v>
      </c>
      <c r="F3" s="11"/>
      <c r="G3" s="12">
        <f>'FALL 1'!G3</f>
        <v>1</v>
      </c>
      <c r="H3" s="13" t="str">
        <f>'FALL 1'!H3</f>
        <v>bis</v>
      </c>
      <c r="I3" s="12">
        <f>'FALL 1'!I3</f>
        <v>50</v>
      </c>
      <c r="J3" s="164" t="str">
        <f>'FALL 1'!J3</f>
        <v>GEZOGENE ZUFALLSZAHLEN</v>
      </c>
      <c r="K3" s="165"/>
      <c r="L3" s="165"/>
      <c r="M3" s="166"/>
      <c r="N3" s="167"/>
      <c r="O3" s="21"/>
      <c r="P3" s="22" t="str">
        <f ca="1">IF($H$176=I74,I74,"")</f>
        <v/>
      </c>
      <c r="Q3" s="22" t="str">
        <f ca="1">IF($H$176=I94,I94,"")</f>
        <v/>
      </c>
      <c r="R3" s="23" t="str">
        <f ca="1">IF($H$176=I114,I114,"")</f>
        <v/>
      </c>
      <c r="S3" s="24" t="str">
        <f ca="1">IF($H$176=I134,I134,"")</f>
        <v/>
      </c>
      <c r="T3" s="24" t="str">
        <f ca="1">IF($H$176=I154,I154,"")</f>
        <v/>
      </c>
      <c r="U3" s="21"/>
    </row>
    <row r="4" spans="1:24" ht="15.6" customHeight="1" x14ac:dyDescent="0.3">
      <c r="A4" s="25"/>
      <c r="D4" s="20"/>
      <c r="E4" s="157" t="str">
        <f>'FALL 1'!E4</f>
        <v>GEZOGENE ZUFALLSZAHLEN (unten):</v>
      </c>
      <c r="F4" s="158"/>
      <c r="G4" s="149"/>
      <c r="H4" s="13" t="str">
        <f>'FALL 1'!H4</f>
        <v>ANZAHL ZZ</v>
      </c>
      <c r="I4" s="12">
        <f>'FALL 1'!I4</f>
        <v>100</v>
      </c>
      <c r="J4" s="12"/>
      <c r="K4" s="12" t="str">
        <f>'FALL 4'!K4</f>
        <v>r für ZZ:</v>
      </c>
      <c r="L4" s="12">
        <f ca="1">'FALL 6'!$M$183</f>
        <v>0.99619635986906463</v>
      </c>
      <c r="M4" s="12" t="str">
        <f>'FALL 4'!M4</f>
        <v>r für ZZ:</v>
      </c>
      <c r="N4" s="26">
        <f ca="1">'FALL 6'!$R$183</f>
        <v>0.99592091441328545</v>
      </c>
      <c r="O4" s="21"/>
      <c r="P4" s="22" t="str">
        <f t="shared" ref="P4:P22" ca="1" si="0">IF($H$176=I75,I75,"")</f>
        <v/>
      </c>
      <c r="Q4" s="22" t="str">
        <f t="shared" ref="Q4:Q22" ca="1" si="1">IF($H$176=I95,I95,"")</f>
        <v/>
      </c>
      <c r="R4" s="23" t="str">
        <f t="shared" ref="R4:R11" ca="1" si="2">IF($H$176=I115,I115,"")</f>
        <v/>
      </c>
      <c r="S4" s="24" t="str">
        <f t="shared" ref="S4:S22" ca="1" si="3">IF($H$176=I135,I135,"")</f>
        <v/>
      </c>
      <c r="T4" s="24" t="str">
        <f t="shared" ref="T4:T22" ca="1" si="4">IF($H$176=I155,I155,"")</f>
        <v/>
      </c>
      <c r="U4" s="21"/>
    </row>
    <row r="5" spans="1:24" ht="15.6" customHeight="1" x14ac:dyDescent="0.3">
      <c r="A5" s="19"/>
      <c r="B5" s="11"/>
      <c r="C5" s="11"/>
      <c r="D5" s="27"/>
      <c r="E5" s="152" t="str">
        <f>'FALL 1'!E5</f>
        <v>Ziehung 1 bis 20, sortiert</v>
      </c>
      <c r="F5" s="153"/>
      <c r="G5" s="154" t="str">
        <f>'FALL 1'!G5</f>
        <v>Ziehung 21 bis 40, sortiert</v>
      </c>
      <c r="H5" s="154"/>
      <c r="I5" s="154" t="str">
        <f>'FALL 1'!I5</f>
        <v>Ziehung 41 bis 60, sortiert</v>
      </c>
      <c r="J5" s="154"/>
      <c r="K5" s="155" t="str">
        <f>'FALL 1'!K5</f>
        <v>Ziehung 61 bis 80, sortiert</v>
      </c>
      <c r="L5" s="155"/>
      <c r="M5" s="155" t="str">
        <f>'FALL 1'!M5</f>
        <v>Ziehung 81 bis 100, sortiert</v>
      </c>
      <c r="N5" s="156"/>
      <c r="O5" s="21"/>
      <c r="P5" s="22" t="str">
        <f t="shared" ca="1" si="0"/>
        <v/>
      </c>
      <c r="Q5" s="22" t="str">
        <f t="shared" ca="1" si="1"/>
        <v/>
      </c>
      <c r="R5" s="23" t="str">
        <f t="shared" ca="1" si="2"/>
        <v/>
      </c>
      <c r="S5" s="24" t="str">
        <f t="shared" ca="1" si="3"/>
        <v/>
      </c>
      <c r="T5" s="24" t="str">
        <f t="shared" ca="1" si="4"/>
        <v/>
      </c>
      <c r="U5" s="21"/>
      <c r="V5" s="11"/>
      <c r="W5" s="11"/>
      <c r="X5" s="11"/>
    </row>
    <row r="6" spans="1:24" ht="15.6" customHeight="1" x14ac:dyDescent="0.3">
      <c r="A6" s="19"/>
      <c r="B6" s="11"/>
      <c r="C6" s="11"/>
      <c r="D6" s="28"/>
      <c r="E6" s="29" t="str">
        <f>'FALL 1'!E6</f>
        <v>Zufallszahl</v>
      </c>
      <c r="F6" s="12" t="str">
        <f>'FALL 1'!F6</f>
        <v>ganze Zahl</v>
      </c>
      <c r="G6" s="12" t="str">
        <f>'FALL 1'!G6</f>
        <v>Zufallszahl</v>
      </c>
      <c r="H6" s="12" t="str">
        <f>'FALL 1'!H6</f>
        <v>ganze Zahl</v>
      </c>
      <c r="I6" s="12" t="str">
        <f>'FALL 1'!I6</f>
        <v>Zufallszahl</v>
      </c>
      <c r="J6" s="12" t="str">
        <f>'FALL 1'!J6</f>
        <v>ganze Zahl</v>
      </c>
      <c r="K6" s="30" t="str">
        <f>'FALL 1'!K6</f>
        <v>Zufallszahl</v>
      </c>
      <c r="L6" s="12" t="str">
        <f>'FALL 1'!L6</f>
        <v>ganze Zahl</v>
      </c>
      <c r="M6" s="30" t="str">
        <f>'FALL 1'!M6</f>
        <v>Zufallszahl</v>
      </c>
      <c r="N6" s="26" t="str">
        <f>'FALL 1'!N6</f>
        <v>ganze Zahl</v>
      </c>
      <c r="O6" s="21"/>
      <c r="P6" s="22" t="str">
        <f t="shared" ca="1" si="0"/>
        <v/>
      </c>
      <c r="Q6" s="22" t="str">
        <f t="shared" ca="1" si="1"/>
        <v/>
      </c>
      <c r="R6" s="23" t="str">
        <f t="shared" ca="1" si="2"/>
        <v/>
      </c>
      <c r="S6" s="24" t="str">
        <f t="shared" ca="1" si="3"/>
        <v/>
      </c>
      <c r="T6" s="24" t="str">
        <f t="shared" ca="1" si="4"/>
        <v/>
      </c>
      <c r="U6" s="21"/>
      <c r="V6" s="11"/>
      <c r="X6" s="11"/>
    </row>
    <row r="7" spans="1:24" ht="15.6" customHeight="1" x14ac:dyDescent="0.3">
      <c r="A7" s="19"/>
      <c r="B7" s="11"/>
      <c r="C7" s="11"/>
      <c r="D7" s="28"/>
      <c r="E7" s="31">
        <f t="shared" ref="E7:E26" ca="1" si="5">I74</f>
        <v>10.9</v>
      </c>
      <c r="F7" s="13">
        <f ca="1">IF(E7="","",ROUND(E7,0))</f>
        <v>11</v>
      </c>
      <c r="G7" s="13">
        <f t="shared" ref="G7:G26" ca="1" si="6">I94</f>
        <v>24</v>
      </c>
      <c r="H7" s="13">
        <f ca="1">IF(G7="","",ROUND(G7,0))</f>
        <v>24</v>
      </c>
      <c r="I7" s="13">
        <f t="shared" ref="I7:I26" ca="1" si="7">I114</f>
        <v>27.9</v>
      </c>
      <c r="J7" s="13">
        <f ca="1">IF(I7="","",ROUND(I7,0))</f>
        <v>28</v>
      </c>
      <c r="K7" s="13">
        <f t="shared" ref="K7:K26" ca="1" si="8">I134</f>
        <v>32.200000000000003</v>
      </c>
      <c r="L7" s="13">
        <f ca="1">IF(K7="","",ROUND(K7,0))</f>
        <v>32</v>
      </c>
      <c r="M7" s="13">
        <f t="shared" ref="M7:M26" ca="1" si="9">I154</f>
        <v>36.4</v>
      </c>
      <c r="N7" s="32">
        <f ca="1">IF(M7="","",ROUND(M7,0))</f>
        <v>36</v>
      </c>
      <c r="O7" s="21"/>
      <c r="P7" s="22" t="str">
        <f t="shared" ca="1" si="0"/>
        <v/>
      </c>
      <c r="Q7" s="22" t="str">
        <f t="shared" ca="1" si="1"/>
        <v/>
      </c>
      <c r="R7" s="23" t="str">
        <f t="shared" ca="1" si="2"/>
        <v/>
      </c>
      <c r="S7" s="24" t="str">
        <f t="shared" ca="1" si="3"/>
        <v/>
      </c>
      <c r="T7" s="24" t="str">
        <f t="shared" ca="1" si="4"/>
        <v/>
      </c>
      <c r="U7" s="21"/>
      <c r="V7" s="11"/>
      <c r="X7" s="11"/>
    </row>
    <row r="8" spans="1:24" ht="15.6" customHeight="1" x14ac:dyDescent="0.3">
      <c r="A8" s="19"/>
      <c r="B8" s="11"/>
      <c r="C8" s="11"/>
      <c r="D8" s="28"/>
      <c r="E8" s="31">
        <f t="shared" ca="1" si="5"/>
        <v>13.4</v>
      </c>
      <c r="F8" s="13">
        <f t="shared" ref="F8:F26" ca="1" si="10">IF(E8="","",ROUND(E8,0))</f>
        <v>13</v>
      </c>
      <c r="G8" s="13">
        <f t="shared" ca="1" si="6"/>
        <v>24.1</v>
      </c>
      <c r="H8" s="13">
        <f t="shared" ref="H8:H26" ca="1" si="11">IF(G8="","",ROUND(G8,0))</f>
        <v>24</v>
      </c>
      <c r="I8" s="13">
        <f t="shared" ca="1" si="7"/>
        <v>28.1</v>
      </c>
      <c r="J8" s="13">
        <f t="shared" ref="J8:J26" ca="1" si="12">IF(I8="","",ROUND(I8,0))</f>
        <v>28</v>
      </c>
      <c r="K8" s="13">
        <f t="shared" ca="1" si="8"/>
        <v>32.4</v>
      </c>
      <c r="L8" s="13">
        <f t="shared" ref="L8:L26" ca="1" si="13">IF(K8="","",ROUND(K8,0))</f>
        <v>32</v>
      </c>
      <c r="M8" s="13">
        <f t="shared" ca="1" si="9"/>
        <v>36.4</v>
      </c>
      <c r="N8" s="32">
        <f t="shared" ref="N8:N26" ca="1" si="14">IF(M8="","",ROUND(M8,0))</f>
        <v>36</v>
      </c>
      <c r="O8" s="21"/>
      <c r="P8" s="22" t="str">
        <f t="shared" ca="1" si="0"/>
        <v/>
      </c>
      <c r="Q8" s="22" t="str">
        <f t="shared" ca="1" si="1"/>
        <v/>
      </c>
      <c r="R8" s="23" t="str">
        <f t="shared" ca="1" si="2"/>
        <v/>
      </c>
      <c r="S8" s="24" t="str">
        <f t="shared" ca="1" si="3"/>
        <v/>
      </c>
      <c r="T8" s="24" t="str">
        <f t="shared" ca="1" si="4"/>
        <v/>
      </c>
      <c r="U8" s="21"/>
      <c r="V8" s="11"/>
      <c r="X8" s="11"/>
    </row>
    <row r="9" spans="1:24" ht="15.6" customHeight="1" x14ac:dyDescent="0.3">
      <c r="A9" s="19"/>
      <c r="B9" s="11"/>
      <c r="C9" s="11"/>
      <c r="D9" s="28"/>
      <c r="E9" s="31">
        <f t="shared" ca="1" si="5"/>
        <v>13.4</v>
      </c>
      <c r="F9" s="13">
        <f t="shared" ca="1" si="10"/>
        <v>13</v>
      </c>
      <c r="G9" s="13">
        <f t="shared" ca="1" si="6"/>
        <v>24.3</v>
      </c>
      <c r="H9" s="13">
        <f t="shared" ca="1" si="11"/>
        <v>24</v>
      </c>
      <c r="I9" s="13">
        <f t="shared" ca="1" si="7"/>
        <v>29</v>
      </c>
      <c r="J9" s="13">
        <f t="shared" ca="1" si="12"/>
        <v>29</v>
      </c>
      <c r="K9" s="13">
        <f t="shared" ca="1" si="8"/>
        <v>32.6</v>
      </c>
      <c r="L9" s="13">
        <f t="shared" ca="1" si="13"/>
        <v>33</v>
      </c>
      <c r="M9" s="13">
        <f t="shared" ca="1" si="9"/>
        <v>36.5</v>
      </c>
      <c r="N9" s="32">
        <f t="shared" ca="1" si="14"/>
        <v>37</v>
      </c>
      <c r="O9" s="21"/>
      <c r="P9" s="22" t="str">
        <f t="shared" ca="1" si="0"/>
        <v/>
      </c>
      <c r="Q9" s="22" t="str">
        <f t="shared" ca="1" si="1"/>
        <v/>
      </c>
      <c r="R9" s="23" t="str">
        <f t="shared" ca="1" si="2"/>
        <v/>
      </c>
      <c r="S9" s="24" t="str">
        <f t="shared" ca="1" si="3"/>
        <v/>
      </c>
      <c r="T9" s="24" t="str">
        <f t="shared" ca="1" si="4"/>
        <v/>
      </c>
      <c r="U9" s="21"/>
      <c r="V9" s="11"/>
      <c r="X9" s="11"/>
    </row>
    <row r="10" spans="1:24" ht="15.6" customHeight="1" x14ac:dyDescent="0.3">
      <c r="A10" s="19"/>
      <c r="B10" s="11"/>
      <c r="C10" s="11"/>
      <c r="D10" s="28"/>
      <c r="E10" s="31">
        <f t="shared" ca="1" si="5"/>
        <v>14.5</v>
      </c>
      <c r="F10" s="13">
        <f t="shared" ca="1" si="10"/>
        <v>15</v>
      </c>
      <c r="G10" s="13">
        <f t="shared" ca="1" si="6"/>
        <v>24.7</v>
      </c>
      <c r="H10" s="13">
        <f t="shared" ca="1" si="11"/>
        <v>25</v>
      </c>
      <c r="I10" s="13">
        <f t="shared" ca="1" si="7"/>
        <v>29.3</v>
      </c>
      <c r="J10" s="13">
        <f t="shared" ca="1" si="12"/>
        <v>29</v>
      </c>
      <c r="K10" s="13">
        <f t="shared" ca="1" si="8"/>
        <v>32.700000000000003</v>
      </c>
      <c r="L10" s="13">
        <f t="shared" ca="1" si="13"/>
        <v>33</v>
      </c>
      <c r="M10" s="13">
        <f t="shared" ca="1" si="9"/>
        <v>36.5</v>
      </c>
      <c r="N10" s="32">
        <f t="shared" ca="1" si="14"/>
        <v>37</v>
      </c>
      <c r="O10" s="21"/>
      <c r="P10" s="22" t="str">
        <f t="shared" ca="1" si="0"/>
        <v/>
      </c>
      <c r="Q10" s="22" t="str">
        <f t="shared" ca="1" si="1"/>
        <v/>
      </c>
      <c r="R10" s="23" t="str">
        <f t="shared" ca="1" si="2"/>
        <v/>
      </c>
      <c r="S10" s="24" t="str">
        <f t="shared" ca="1" si="3"/>
        <v/>
      </c>
      <c r="T10" s="24" t="str">
        <f t="shared" ca="1" si="4"/>
        <v/>
      </c>
      <c r="U10" s="21"/>
      <c r="V10" s="11"/>
      <c r="X10" s="11"/>
    </row>
    <row r="11" spans="1:24" ht="15.6" customHeight="1" x14ac:dyDescent="0.3">
      <c r="A11" s="19"/>
      <c r="B11" s="11"/>
      <c r="C11" s="11"/>
      <c r="D11" s="28"/>
      <c r="E11" s="31">
        <f t="shared" ca="1" si="5"/>
        <v>16.100000000000001</v>
      </c>
      <c r="F11" s="13">
        <f t="shared" ca="1" si="10"/>
        <v>16</v>
      </c>
      <c r="G11" s="13">
        <f t="shared" ca="1" si="6"/>
        <v>24.7</v>
      </c>
      <c r="H11" s="13">
        <f t="shared" ca="1" si="11"/>
        <v>25</v>
      </c>
      <c r="I11" s="13">
        <f t="shared" ca="1" si="7"/>
        <v>29.5</v>
      </c>
      <c r="J11" s="13">
        <f t="shared" ca="1" si="12"/>
        <v>30</v>
      </c>
      <c r="K11" s="13">
        <f t="shared" ca="1" si="8"/>
        <v>32.799999999999997</v>
      </c>
      <c r="L11" s="13">
        <f t="shared" ca="1" si="13"/>
        <v>33</v>
      </c>
      <c r="M11" s="13">
        <f t="shared" ca="1" si="9"/>
        <v>36.9</v>
      </c>
      <c r="N11" s="32">
        <f t="shared" ca="1" si="14"/>
        <v>37</v>
      </c>
      <c r="O11" s="21"/>
      <c r="P11" s="22" t="str">
        <f t="shared" ca="1" si="0"/>
        <v/>
      </c>
      <c r="Q11" s="22" t="str">
        <f t="shared" ca="1" si="1"/>
        <v/>
      </c>
      <c r="R11" s="33" t="str">
        <f t="shared" ca="1" si="2"/>
        <v/>
      </c>
      <c r="S11" s="24" t="str">
        <f t="shared" ca="1" si="3"/>
        <v/>
      </c>
      <c r="T11" s="24" t="str">
        <f t="shared" ca="1" si="4"/>
        <v/>
      </c>
      <c r="U11" s="21"/>
      <c r="V11" s="11"/>
      <c r="X11" s="11"/>
    </row>
    <row r="12" spans="1:24" ht="15.6" customHeight="1" x14ac:dyDescent="0.5">
      <c r="A12" s="19"/>
      <c r="B12" s="11"/>
      <c r="C12" s="11"/>
      <c r="D12" s="28"/>
      <c r="E12" s="31">
        <f t="shared" ca="1" si="5"/>
        <v>16.5</v>
      </c>
      <c r="F12" s="13">
        <f t="shared" ca="1" si="10"/>
        <v>17</v>
      </c>
      <c r="G12" s="13">
        <f t="shared" ca="1" si="6"/>
        <v>24.9</v>
      </c>
      <c r="H12" s="13">
        <f t="shared" ca="1" si="11"/>
        <v>25</v>
      </c>
      <c r="I12" s="13">
        <f t="shared" ca="1" si="7"/>
        <v>29.7</v>
      </c>
      <c r="J12" s="13">
        <f t="shared" ca="1" si="12"/>
        <v>30</v>
      </c>
      <c r="K12" s="13">
        <f t="shared" ca="1" si="8"/>
        <v>32.9</v>
      </c>
      <c r="L12" s="13">
        <f t="shared" ca="1" si="13"/>
        <v>33</v>
      </c>
      <c r="M12" s="13">
        <f t="shared" ca="1" si="9"/>
        <v>37.1</v>
      </c>
      <c r="N12" s="32">
        <f t="shared" ca="1" si="14"/>
        <v>37</v>
      </c>
      <c r="O12" s="3" t="s">
        <v>141</v>
      </c>
      <c r="P12" s="22" t="str">
        <f t="shared" ca="1" si="0"/>
        <v/>
      </c>
      <c r="Q12" s="22" t="str">
        <f t="shared" ca="1" si="1"/>
        <v/>
      </c>
      <c r="R12" s="2" t="s">
        <v>141</v>
      </c>
      <c r="S12" s="24" t="str">
        <f t="shared" ca="1" si="3"/>
        <v/>
      </c>
      <c r="T12" s="24" t="str">
        <f t="shared" ca="1" si="4"/>
        <v/>
      </c>
      <c r="U12" s="4" t="s">
        <v>141</v>
      </c>
      <c r="V12" s="11"/>
      <c r="X12" s="11"/>
    </row>
    <row r="13" spans="1:24" ht="15.6" customHeight="1" x14ac:dyDescent="0.3">
      <c r="A13" s="19"/>
      <c r="B13" s="11"/>
      <c r="C13" s="11"/>
      <c r="D13" s="28"/>
      <c r="E13" s="31">
        <f t="shared" ca="1" si="5"/>
        <v>17.399999999999999</v>
      </c>
      <c r="F13" s="13">
        <f t="shared" ca="1" si="10"/>
        <v>17</v>
      </c>
      <c r="G13" s="13">
        <f t="shared" ca="1" si="6"/>
        <v>24.9</v>
      </c>
      <c r="H13" s="13">
        <f t="shared" ca="1" si="11"/>
        <v>25</v>
      </c>
      <c r="I13" s="13">
        <f t="shared" ca="1" si="7"/>
        <v>29.8</v>
      </c>
      <c r="J13" s="13">
        <f t="shared" ca="1" si="12"/>
        <v>30</v>
      </c>
      <c r="K13" s="13">
        <f t="shared" ca="1" si="8"/>
        <v>33.5</v>
      </c>
      <c r="L13" s="13">
        <f t="shared" ca="1" si="13"/>
        <v>34</v>
      </c>
      <c r="M13" s="13">
        <f t="shared" ca="1" si="9"/>
        <v>37.4</v>
      </c>
      <c r="N13" s="32">
        <f t="shared" ca="1" si="14"/>
        <v>37</v>
      </c>
      <c r="O13" s="21"/>
      <c r="P13" s="22" t="str">
        <f t="shared" ca="1" si="0"/>
        <v/>
      </c>
      <c r="Q13" s="22" t="str">
        <f t="shared" ca="1" si="1"/>
        <v/>
      </c>
      <c r="R13" s="23" t="str">
        <f t="shared" ref="R13:R22" ca="1" si="15">IF($H$176=I124,I124,"")</f>
        <v/>
      </c>
      <c r="S13" s="24" t="str">
        <f t="shared" ca="1" si="3"/>
        <v/>
      </c>
      <c r="T13" s="24" t="str">
        <f t="shared" ca="1" si="4"/>
        <v/>
      </c>
      <c r="U13" s="21"/>
      <c r="V13" s="11"/>
      <c r="X13" s="11"/>
    </row>
    <row r="14" spans="1:24" ht="15.6" customHeight="1" thickBot="1" x14ac:dyDescent="0.35">
      <c r="A14" s="19"/>
      <c r="B14" s="11"/>
      <c r="C14" s="11"/>
      <c r="D14" s="28"/>
      <c r="E14" s="31">
        <f t="shared" ca="1" si="5"/>
        <v>17.5</v>
      </c>
      <c r="F14" s="13">
        <f t="shared" ca="1" si="10"/>
        <v>18</v>
      </c>
      <c r="G14" s="13">
        <f t="shared" ca="1" si="6"/>
        <v>25</v>
      </c>
      <c r="H14" s="13">
        <f t="shared" ca="1" si="11"/>
        <v>25</v>
      </c>
      <c r="I14" s="13">
        <f t="shared" ca="1" si="7"/>
        <v>29.8</v>
      </c>
      <c r="J14" s="13">
        <f t="shared" ca="1" si="12"/>
        <v>30</v>
      </c>
      <c r="K14" s="13">
        <f t="shared" ca="1" si="8"/>
        <v>33.5</v>
      </c>
      <c r="L14" s="13">
        <f t="shared" ca="1" si="13"/>
        <v>34</v>
      </c>
      <c r="M14" s="13">
        <f t="shared" ca="1" si="9"/>
        <v>38.1</v>
      </c>
      <c r="N14" s="32">
        <f t="shared" ca="1" si="14"/>
        <v>38</v>
      </c>
      <c r="O14" s="21"/>
      <c r="P14" s="22" t="str">
        <f t="shared" ca="1" si="0"/>
        <v/>
      </c>
      <c r="Q14" s="22" t="str">
        <f t="shared" ca="1" si="1"/>
        <v/>
      </c>
      <c r="R14" s="23" t="str">
        <f t="shared" ca="1" si="15"/>
        <v/>
      </c>
      <c r="S14" s="24" t="str">
        <f t="shared" ca="1" si="3"/>
        <v/>
      </c>
      <c r="T14" s="24" t="str">
        <f t="shared" ca="1" si="4"/>
        <v/>
      </c>
      <c r="U14" s="21"/>
      <c r="V14" s="11"/>
      <c r="X14" s="11"/>
    </row>
    <row r="15" spans="1:24" ht="15.6" customHeight="1" thickBot="1" x14ac:dyDescent="0.35">
      <c r="A15" s="19"/>
      <c r="B15" s="34" t="s">
        <v>23</v>
      </c>
      <c r="C15" s="11"/>
      <c r="D15" s="28"/>
      <c r="E15" s="31">
        <f t="shared" ca="1" si="5"/>
        <v>18</v>
      </c>
      <c r="F15" s="13">
        <f t="shared" ca="1" si="10"/>
        <v>18</v>
      </c>
      <c r="G15" s="13">
        <f t="shared" ca="1" si="6"/>
        <v>25</v>
      </c>
      <c r="H15" s="13">
        <f t="shared" ca="1" si="11"/>
        <v>25</v>
      </c>
      <c r="I15" s="13">
        <f t="shared" ca="1" si="7"/>
        <v>29.8</v>
      </c>
      <c r="J15" s="13">
        <f t="shared" ca="1" si="12"/>
        <v>30</v>
      </c>
      <c r="K15" s="13">
        <f t="shared" ca="1" si="8"/>
        <v>33.5</v>
      </c>
      <c r="L15" s="13">
        <f t="shared" ca="1" si="13"/>
        <v>34</v>
      </c>
      <c r="M15" s="13">
        <f t="shared" ca="1" si="9"/>
        <v>38.1</v>
      </c>
      <c r="N15" s="32">
        <f t="shared" ca="1" si="14"/>
        <v>38</v>
      </c>
      <c r="O15" s="21"/>
      <c r="P15" s="22" t="str">
        <f t="shared" ca="1" si="0"/>
        <v/>
      </c>
      <c r="Q15" s="22" t="str">
        <f t="shared" ca="1" si="1"/>
        <v/>
      </c>
      <c r="R15" s="23" t="str">
        <f t="shared" ca="1" si="15"/>
        <v/>
      </c>
      <c r="S15" s="24" t="str">
        <f t="shared" ca="1" si="3"/>
        <v/>
      </c>
      <c r="T15" s="24" t="str">
        <f t="shared" ca="1" si="4"/>
        <v/>
      </c>
      <c r="U15" s="21"/>
      <c r="V15" s="11"/>
      <c r="X15" s="11"/>
    </row>
    <row r="16" spans="1:24" ht="15.6" customHeight="1" x14ac:dyDescent="0.3">
      <c r="A16" s="19"/>
      <c r="B16" s="11"/>
      <c r="C16" s="11"/>
      <c r="D16" s="28"/>
      <c r="E16" s="31">
        <f t="shared" ca="1" si="5"/>
        <v>18.600000000000001</v>
      </c>
      <c r="F16" s="13">
        <f t="shared" ca="1" si="10"/>
        <v>19</v>
      </c>
      <c r="G16" s="13">
        <f t="shared" ca="1" si="6"/>
        <v>25.1</v>
      </c>
      <c r="H16" s="13">
        <f t="shared" ca="1" si="11"/>
        <v>25</v>
      </c>
      <c r="I16" s="13">
        <f t="shared" ca="1" si="7"/>
        <v>30.3</v>
      </c>
      <c r="J16" s="13">
        <f t="shared" ca="1" si="12"/>
        <v>30</v>
      </c>
      <c r="K16" s="13">
        <f t="shared" ca="1" si="8"/>
        <v>33.5</v>
      </c>
      <c r="L16" s="13">
        <f t="shared" ca="1" si="13"/>
        <v>34</v>
      </c>
      <c r="M16" s="13">
        <f t="shared" ca="1" si="9"/>
        <v>38.299999999999997</v>
      </c>
      <c r="N16" s="32">
        <f t="shared" ca="1" si="14"/>
        <v>38</v>
      </c>
      <c r="O16" s="21"/>
      <c r="P16" s="22" t="str">
        <f t="shared" ca="1" si="0"/>
        <v/>
      </c>
      <c r="Q16" s="22">
        <f t="shared" ca="1" si="1"/>
        <v>26.8</v>
      </c>
      <c r="R16" s="23" t="str">
        <f t="shared" ca="1" si="15"/>
        <v/>
      </c>
      <c r="S16" s="24" t="str">
        <f t="shared" ca="1" si="3"/>
        <v/>
      </c>
      <c r="T16" s="24" t="str">
        <f t="shared" ca="1" si="4"/>
        <v/>
      </c>
      <c r="U16" s="21"/>
      <c r="V16" s="11"/>
      <c r="X16" s="11"/>
    </row>
    <row r="17" spans="1:24" ht="15.6" customHeight="1" x14ac:dyDescent="0.3">
      <c r="A17" s="19"/>
      <c r="B17" s="11"/>
      <c r="C17" s="11"/>
      <c r="D17" s="28"/>
      <c r="E17" s="31">
        <f t="shared" ca="1" si="5"/>
        <v>19.100000000000001</v>
      </c>
      <c r="F17" s="13">
        <f t="shared" ca="1" si="10"/>
        <v>19</v>
      </c>
      <c r="G17" s="13">
        <f t="shared" ca="1" si="6"/>
        <v>25.5</v>
      </c>
      <c r="H17" s="13">
        <f t="shared" ca="1" si="11"/>
        <v>26</v>
      </c>
      <c r="I17" s="13">
        <f t="shared" ca="1" si="7"/>
        <v>30.3</v>
      </c>
      <c r="J17" s="13">
        <f t="shared" ca="1" si="12"/>
        <v>30</v>
      </c>
      <c r="K17" s="13">
        <f t="shared" ca="1" si="8"/>
        <v>34</v>
      </c>
      <c r="L17" s="13">
        <f t="shared" ca="1" si="13"/>
        <v>34</v>
      </c>
      <c r="M17" s="13">
        <f t="shared" ca="1" si="9"/>
        <v>38.4</v>
      </c>
      <c r="N17" s="32">
        <f t="shared" ca="1" si="14"/>
        <v>38</v>
      </c>
      <c r="O17" s="21"/>
      <c r="P17" s="22" t="str">
        <f t="shared" ca="1" si="0"/>
        <v/>
      </c>
      <c r="Q17" s="22" t="str">
        <f t="shared" ca="1" si="1"/>
        <v/>
      </c>
      <c r="R17" s="23" t="str">
        <f t="shared" ca="1" si="15"/>
        <v/>
      </c>
      <c r="S17" s="24" t="str">
        <f t="shared" ca="1" si="3"/>
        <v/>
      </c>
      <c r="T17" s="24" t="str">
        <f t="shared" ca="1" si="4"/>
        <v/>
      </c>
      <c r="U17" s="21"/>
      <c r="V17" s="11"/>
      <c r="X17" s="11"/>
    </row>
    <row r="18" spans="1:24" ht="15.6" customHeight="1" x14ac:dyDescent="0.3">
      <c r="A18" s="19"/>
      <c r="B18" s="11"/>
      <c r="C18" s="11"/>
      <c r="D18" s="28"/>
      <c r="E18" s="31">
        <f t="shared" ca="1" si="5"/>
        <v>19.899999999999999</v>
      </c>
      <c r="F18" s="13">
        <f t="shared" ca="1" si="10"/>
        <v>20</v>
      </c>
      <c r="G18" s="13">
        <f t="shared" ca="1" si="6"/>
        <v>26.2</v>
      </c>
      <c r="H18" s="13">
        <f t="shared" ca="1" si="11"/>
        <v>26</v>
      </c>
      <c r="I18" s="13">
        <f t="shared" ca="1" si="7"/>
        <v>30.4</v>
      </c>
      <c r="J18" s="13">
        <f t="shared" ca="1" si="12"/>
        <v>30</v>
      </c>
      <c r="K18" s="13">
        <f t="shared" ca="1" si="8"/>
        <v>34.4</v>
      </c>
      <c r="L18" s="13">
        <f t="shared" ca="1" si="13"/>
        <v>34</v>
      </c>
      <c r="M18" s="13">
        <f t="shared" ca="1" si="9"/>
        <v>40.299999999999997</v>
      </c>
      <c r="N18" s="32">
        <f t="shared" ca="1" si="14"/>
        <v>40</v>
      </c>
      <c r="O18" s="21"/>
      <c r="P18" s="22" t="str">
        <f t="shared" ca="1" si="0"/>
        <v/>
      </c>
      <c r="Q18" s="22" t="str">
        <f t="shared" ca="1" si="1"/>
        <v/>
      </c>
      <c r="R18" s="23" t="str">
        <f t="shared" ca="1" si="15"/>
        <v/>
      </c>
      <c r="S18" s="24" t="str">
        <f t="shared" ca="1" si="3"/>
        <v/>
      </c>
      <c r="T18" s="24" t="str">
        <f t="shared" ca="1" si="4"/>
        <v/>
      </c>
      <c r="U18" s="21"/>
      <c r="V18" s="11"/>
      <c r="X18" s="11"/>
    </row>
    <row r="19" spans="1:24" ht="15.6" customHeight="1" x14ac:dyDescent="0.3">
      <c r="A19" s="19"/>
      <c r="B19" s="11"/>
      <c r="C19" s="11"/>
      <c r="D19" s="28"/>
      <c r="E19" s="31">
        <f t="shared" ca="1" si="5"/>
        <v>20.100000000000001</v>
      </c>
      <c r="F19" s="13">
        <f t="shared" ca="1" si="10"/>
        <v>20</v>
      </c>
      <c r="G19" s="13">
        <f t="shared" ca="1" si="6"/>
        <v>26.5</v>
      </c>
      <c r="H19" s="13">
        <f t="shared" ca="1" si="11"/>
        <v>27</v>
      </c>
      <c r="I19" s="13">
        <f t="shared" ca="1" si="7"/>
        <v>30.4</v>
      </c>
      <c r="J19" s="13">
        <f t="shared" ca="1" si="12"/>
        <v>30</v>
      </c>
      <c r="K19" s="13">
        <f t="shared" ca="1" si="8"/>
        <v>34.5</v>
      </c>
      <c r="L19" s="13">
        <f t="shared" ca="1" si="13"/>
        <v>35</v>
      </c>
      <c r="M19" s="13">
        <f t="shared" ca="1" si="9"/>
        <v>40.5</v>
      </c>
      <c r="N19" s="32">
        <f t="shared" ca="1" si="14"/>
        <v>41</v>
      </c>
      <c r="O19" s="21"/>
      <c r="P19" s="22" t="str">
        <f t="shared" ca="1" si="0"/>
        <v/>
      </c>
      <c r="Q19" s="22" t="str">
        <f t="shared" ca="1" si="1"/>
        <v/>
      </c>
      <c r="R19" s="23" t="str">
        <f t="shared" ca="1" si="15"/>
        <v/>
      </c>
      <c r="S19" s="24" t="str">
        <f t="shared" ca="1" si="3"/>
        <v/>
      </c>
      <c r="T19" s="24" t="str">
        <f t="shared" ca="1" si="4"/>
        <v/>
      </c>
      <c r="U19" s="21"/>
      <c r="V19" s="11"/>
      <c r="X19" s="11"/>
    </row>
    <row r="20" spans="1:24" ht="15.6" customHeight="1" x14ac:dyDescent="0.3">
      <c r="A20" s="19"/>
      <c r="B20" s="11"/>
      <c r="C20" s="11"/>
      <c r="D20" s="28"/>
      <c r="E20" s="31">
        <f t="shared" ca="1" si="5"/>
        <v>20.100000000000001</v>
      </c>
      <c r="F20" s="13">
        <f t="shared" ca="1" si="10"/>
        <v>20</v>
      </c>
      <c r="G20" s="13">
        <f t="shared" ca="1" si="6"/>
        <v>26.8</v>
      </c>
      <c r="H20" s="13">
        <f t="shared" ca="1" si="11"/>
        <v>27</v>
      </c>
      <c r="I20" s="13">
        <f t="shared" ca="1" si="7"/>
        <v>30.5</v>
      </c>
      <c r="J20" s="13">
        <f t="shared" ca="1" si="12"/>
        <v>31</v>
      </c>
      <c r="K20" s="13">
        <f t="shared" ca="1" si="8"/>
        <v>34.6</v>
      </c>
      <c r="L20" s="13">
        <f t="shared" ca="1" si="13"/>
        <v>35</v>
      </c>
      <c r="M20" s="13">
        <f t="shared" ca="1" si="9"/>
        <v>41.5</v>
      </c>
      <c r="N20" s="32">
        <f t="shared" ca="1" si="14"/>
        <v>42</v>
      </c>
      <c r="O20" s="21"/>
      <c r="P20" s="22" t="str">
        <f t="shared" ca="1" si="0"/>
        <v/>
      </c>
      <c r="Q20" s="22" t="str">
        <f t="shared" ca="1" si="1"/>
        <v/>
      </c>
      <c r="R20" s="23" t="str">
        <f t="shared" ca="1" si="15"/>
        <v/>
      </c>
      <c r="S20" s="24" t="str">
        <f t="shared" ca="1" si="3"/>
        <v/>
      </c>
      <c r="T20" s="24" t="str">
        <f t="shared" ca="1" si="4"/>
        <v/>
      </c>
      <c r="U20" s="21"/>
      <c r="V20" s="11"/>
      <c r="X20" s="11"/>
    </row>
    <row r="21" spans="1:24" ht="15.6" customHeight="1" thickBot="1" x14ac:dyDescent="0.35">
      <c r="A21" s="19"/>
      <c r="B21" s="11"/>
      <c r="C21" s="11"/>
      <c r="D21" s="28"/>
      <c r="E21" s="31">
        <f t="shared" ca="1" si="5"/>
        <v>22</v>
      </c>
      <c r="F21" s="13">
        <f t="shared" ca="1" si="10"/>
        <v>22</v>
      </c>
      <c r="G21" s="13">
        <f t="shared" ca="1" si="6"/>
        <v>27</v>
      </c>
      <c r="H21" s="13">
        <f t="shared" ca="1" si="11"/>
        <v>27</v>
      </c>
      <c r="I21" s="13">
        <f t="shared" ca="1" si="7"/>
        <v>30.6</v>
      </c>
      <c r="J21" s="13">
        <f t="shared" ca="1" si="12"/>
        <v>31</v>
      </c>
      <c r="K21" s="13">
        <f t="shared" ca="1" si="8"/>
        <v>34.700000000000003</v>
      </c>
      <c r="L21" s="13">
        <f t="shared" ca="1" si="13"/>
        <v>35</v>
      </c>
      <c r="M21" s="13">
        <f t="shared" ca="1" si="9"/>
        <v>41.7</v>
      </c>
      <c r="N21" s="32">
        <f t="shared" ca="1" si="14"/>
        <v>42</v>
      </c>
      <c r="O21" s="21"/>
      <c r="P21" s="22" t="str">
        <f t="shared" ca="1" si="0"/>
        <v/>
      </c>
      <c r="Q21" s="22" t="str">
        <f t="shared" ca="1" si="1"/>
        <v/>
      </c>
      <c r="R21" s="23" t="str">
        <f t="shared" ca="1" si="15"/>
        <v/>
      </c>
      <c r="S21" s="24" t="str">
        <f t="shared" ca="1" si="3"/>
        <v/>
      </c>
      <c r="T21" s="24" t="str">
        <f t="shared" ca="1" si="4"/>
        <v/>
      </c>
      <c r="U21" s="21"/>
      <c r="V21" s="11"/>
      <c r="X21" s="11"/>
    </row>
    <row r="22" spans="1:24" ht="15.6" customHeight="1" thickBot="1" x14ac:dyDescent="0.35">
      <c r="A22" s="35" t="s">
        <v>142</v>
      </c>
      <c r="B22" s="36">
        <f>'NUR MIT PASSWORT'!$J$20</f>
        <v>1</v>
      </c>
      <c r="C22" s="36">
        <f>IF(B22&lt;1,0,ROUND((LN($B$45)*H38),2))</f>
        <v>31.28</v>
      </c>
      <c r="D22" s="36">
        <f>'NUR MIT PASSWORT'!$J$21</f>
        <v>50</v>
      </c>
      <c r="E22" s="31">
        <f t="shared" ca="1" si="5"/>
        <v>22.1</v>
      </c>
      <c r="F22" s="13">
        <f t="shared" ca="1" si="10"/>
        <v>22</v>
      </c>
      <c r="G22" s="13">
        <f t="shared" ca="1" si="6"/>
        <v>27</v>
      </c>
      <c r="H22" s="13">
        <f t="shared" ca="1" si="11"/>
        <v>27</v>
      </c>
      <c r="I22" s="13">
        <f t="shared" ca="1" si="7"/>
        <v>30.7</v>
      </c>
      <c r="J22" s="13">
        <f t="shared" ca="1" si="12"/>
        <v>31</v>
      </c>
      <c r="K22" s="13">
        <f t="shared" ca="1" si="8"/>
        <v>35.200000000000003</v>
      </c>
      <c r="L22" s="13">
        <f t="shared" ca="1" si="13"/>
        <v>35</v>
      </c>
      <c r="M22" s="13">
        <f t="shared" ca="1" si="9"/>
        <v>42.7</v>
      </c>
      <c r="N22" s="32">
        <f t="shared" ca="1" si="14"/>
        <v>43</v>
      </c>
      <c r="O22" s="21"/>
      <c r="P22" s="22" t="str">
        <f t="shared" ca="1" si="0"/>
        <v/>
      </c>
      <c r="Q22" s="22" t="str">
        <f t="shared" ca="1" si="1"/>
        <v/>
      </c>
      <c r="R22" s="23" t="str">
        <f t="shared" ca="1" si="15"/>
        <v/>
      </c>
      <c r="S22" s="24" t="str">
        <f t="shared" ca="1" si="3"/>
        <v/>
      </c>
      <c r="T22" s="24" t="str">
        <f t="shared" ca="1" si="4"/>
        <v/>
      </c>
      <c r="U22" s="21"/>
      <c r="V22" s="11"/>
      <c r="X22" s="11"/>
    </row>
    <row r="23" spans="1:24" ht="15" thickBot="1" x14ac:dyDescent="0.35">
      <c r="A23" s="35" t="str">
        <f>'FALL 4'!$A$23</f>
        <v>Vorgaben Entnahmebereich (xmin' - xmax')</v>
      </c>
      <c r="B23" s="36">
        <f>'NUR MIT PASSWORT'!$J$22</f>
        <v>1</v>
      </c>
      <c r="C23" s="37"/>
      <c r="D23" s="36">
        <f>'NUR MIT PASSWORT'!$J$23</f>
        <v>50</v>
      </c>
      <c r="E23" s="31">
        <f t="shared" ca="1" si="5"/>
        <v>22.2</v>
      </c>
      <c r="F23" s="13">
        <f t="shared" ca="1" si="10"/>
        <v>22</v>
      </c>
      <c r="G23" s="13">
        <f t="shared" ca="1" si="6"/>
        <v>27.1</v>
      </c>
      <c r="H23" s="13">
        <f t="shared" ca="1" si="11"/>
        <v>27</v>
      </c>
      <c r="I23" s="13">
        <f t="shared" ca="1" si="7"/>
        <v>30.9</v>
      </c>
      <c r="J23" s="13">
        <f t="shared" ca="1" si="12"/>
        <v>31</v>
      </c>
      <c r="K23" s="13">
        <f t="shared" ca="1" si="8"/>
        <v>35.200000000000003</v>
      </c>
      <c r="L23" s="13">
        <f t="shared" ca="1" si="13"/>
        <v>35</v>
      </c>
      <c r="M23" s="13">
        <f t="shared" ca="1" si="9"/>
        <v>43.6</v>
      </c>
      <c r="N23" s="32">
        <f t="shared" ca="1" si="14"/>
        <v>44</v>
      </c>
      <c r="O23" s="11"/>
      <c r="P23" s="11"/>
      <c r="Q23" s="11"/>
      <c r="R23" s="11"/>
      <c r="S23" s="11"/>
      <c r="T23" s="11"/>
      <c r="U23" s="11"/>
      <c r="V23" s="11"/>
      <c r="X23" s="11"/>
    </row>
    <row r="24" spans="1:24" ht="15" thickBot="1" x14ac:dyDescent="0.35">
      <c r="A24" s="38" t="str">
        <f>'FALL 4'!$A$24</f>
        <v>Abfrage INNERHALB des Entnahmebereichs</v>
      </c>
      <c r="B24" s="13"/>
      <c r="C24" s="13"/>
      <c r="D24" s="32"/>
      <c r="E24" s="31">
        <f t="shared" ca="1" si="5"/>
        <v>23.4</v>
      </c>
      <c r="F24" s="13">
        <f t="shared" ca="1" si="10"/>
        <v>23</v>
      </c>
      <c r="G24" s="13">
        <f t="shared" ca="1" si="6"/>
        <v>27.2</v>
      </c>
      <c r="H24" s="13">
        <f t="shared" ca="1" si="11"/>
        <v>27</v>
      </c>
      <c r="I24" s="13">
        <f t="shared" ca="1" si="7"/>
        <v>31.2</v>
      </c>
      <c r="J24" s="13">
        <f t="shared" ca="1" si="12"/>
        <v>31</v>
      </c>
      <c r="K24" s="13">
        <f t="shared" ca="1" si="8"/>
        <v>35.4</v>
      </c>
      <c r="L24" s="13">
        <f t="shared" ca="1" si="13"/>
        <v>35</v>
      </c>
      <c r="M24" s="13">
        <f t="shared" ca="1" si="9"/>
        <v>44.8</v>
      </c>
      <c r="N24" s="32">
        <f t="shared" ca="1" si="14"/>
        <v>45</v>
      </c>
      <c r="O24" s="11"/>
      <c r="P24" s="11"/>
      <c r="Q24" s="11"/>
      <c r="R24" s="11"/>
      <c r="S24" s="11"/>
      <c r="T24" s="11"/>
      <c r="U24" s="11"/>
      <c r="V24" s="11"/>
      <c r="X24" s="11"/>
    </row>
    <row r="25" spans="1:24" ht="15" thickBot="1" x14ac:dyDescent="0.35">
      <c r="A25" s="35" t="s">
        <v>73</v>
      </c>
      <c r="B25" s="39">
        <v>70</v>
      </c>
      <c r="C25" s="37" t="s">
        <v>22</v>
      </c>
      <c r="D25" s="36">
        <f>ROUND(((B34-B35)/(B36-B35))*98+1,2)</f>
        <v>100</v>
      </c>
      <c r="E25" s="31">
        <f t="shared" ca="1" si="5"/>
        <v>23.4</v>
      </c>
      <c r="F25" s="13">
        <f t="shared" ca="1" si="10"/>
        <v>23</v>
      </c>
      <c r="G25" s="13">
        <f t="shared" ca="1" si="6"/>
        <v>27.8</v>
      </c>
      <c r="H25" s="13">
        <f t="shared" ca="1" si="11"/>
        <v>28</v>
      </c>
      <c r="I25" s="13">
        <f t="shared" ca="1" si="7"/>
        <v>31.2</v>
      </c>
      <c r="J25" s="13">
        <f t="shared" ca="1" si="12"/>
        <v>31</v>
      </c>
      <c r="K25" s="13">
        <f t="shared" ca="1" si="8"/>
        <v>35.9</v>
      </c>
      <c r="L25" s="13">
        <f t="shared" ca="1" si="13"/>
        <v>36</v>
      </c>
      <c r="M25" s="13">
        <f t="shared" ca="1" si="9"/>
        <v>46.2</v>
      </c>
      <c r="N25" s="32">
        <f t="shared" ca="1" si="14"/>
        <v>46</v>
      </c>
      <c r="O25" s="11"/>
      <c r="P25" s="11"/>
      <c r="Q25" s="11"/>
      <c r="R25" s="11"/>
      <c r="S25" s="11"/>
      <c r="T25" s="11"/>
      <c r="U25" s="11"/>
      <c r="V25" s="11"/>
      <c r="X25" s="11"/>
    </row>
    <row r="26" spans="1:24" ht="15" thickBot="1" x14ac:dyDescent="0.35">
      <c r="A26" s="35" t="s">
        <v>31</v>
      </c>
      <c r="B26" s="39">
        <v>99</v>
      </c>
      <c r="C26" s="37" t="s">
        <v>21</v>
      </c>
      <c r="D26" s="36">
        <f>ROUND((LN(((LN((B41/(100-B41))))-B50)/B51))*D22,2)</f>
        <v>50</v>
      </c>
      <c r="E26" s="40">
        <f t="shared" ca="1" si="5"/>
        <v>23.8</v>
      </c>
      <c r="F26" s="41">
        <f t="shared" ca="1" si="10"/>
        <v>24</v>
      </c>
      <c r="G26" s="41">
        <f t="shared" ca="1" si="6"/>
        <v>27.9</v>
      </c>
      <c r="H26" s="41">
        <f t="shared" ca="1" si="11"/>
        <v>28</v>
      </c>
      <c r="I26" s="41">
        <f t="shared" ca="1" si="7"/>
        <v>31.3</v>
      </c>
      <c r="J26" s="41">
        <f t="shared" ca="1" si="12"/>
        <v>31</v>
      </c>
      <c r="K26" s="41">
        <f t="shared" ca="1" si="8"/>
        <v>36.4</v>
      </c>
      <c r="L26" s="41">
        <f t="shared" ca="1" si="13"/>
        <v>36</v>
      </c>
      <c r="M26" s="41">
        <f t="shared" ca="1" si="9"/>
        <v>47.3</v>
      </c>
      <c r="N26" s="42">
        <f t="shared" ca="1" si="14"/>
        <v>47</v>
      </c>
      <c r="O26" s="11"/>
      <c r="P26" s="11"/>
      <c r="Q26" s="11"/>
      <c r="R26" s="11"/>
      <c r="S26" s="11"/>
      <c r="T26" s="11"/>
      <c r="U26" s="11"/>
      <c r="V26" s="11"/>
      <c r="X26" s="11"/>
    </row>
    <row r="27" spans="1:24" x14ac:dyDescent="0.3">
      <c r="E27" s="11"/>
      <c r="F27" s="11"/>
      <c r="G27" s="11"/>
      <c r="H27" s="11"/>
      <c r="I27" s="11"/>
      <c r="J27" s="11"/>
      <c r="K27" s="11"/>
      <c r="L27" s="11"/>
      <c r="M27" s="11"/>
      <c r="N27" s="11"/>
      <c r="O27" s="11"/>
      <c r="P27" s="11"/>
      <c r="Q27" s="11"/>
      <c r="R27" s="11"/>
      <c r="S27" s="11"/>
      <c r="T27" s="11"/>
      <c r="U27" s="11"/>
      <c r="V27" s="11"/>
      <c r="X27" s="11"/>
    </row>
    <row r="28" spans="1:24" x14ac:dyDescent="0.3">
      <c r="E28" s="11"/>
      <c r="F28" s="11"/>
      <c r="G28" s="11"/>
      <c r="H28" s="11"/>
      <c r="I28" s="11"/>
      <c r="J28" s="11"/>
      <c r="K28" s="11"/>
      <c r="L28" s="11"/>
      <c r="M28" s="11"/>
      <c r="N28" s="11"/>
      <c r="O28" s="11"/>
      <c r="P28" s="11"/>
      <c r="Q28" s="11"/>
      <c r="R28" s="11"/>
      <c r="S28" s="11"/>
      <c r="T28" s="11"/>
      <c r="U28" s="11"/>
      <c r="V28" s="11"/>
      <c r="X28" s="11"/>
    </row>
    <row r="29" spans="1:24" x14ac:dyDescent="0.3">
      <c r="A29" s="11"/>
      <c r="B29" s="11"/>
      <c r="C29" s="11"/>
      <c r="E29" s="11"/>
      <c r="F29" s="11"/>
      <c r="G29" s="11"/>
      <c r="H29" s="11"/>
      <c r="I29" s="11"/>
      <c r="J29" s="11"/>
      <c r="K29" s="11"/>
      <c r="L29" s="11"/>
      <c r="M29" s="11"/>
      <c r="N29" s="11"/>
      <c r="O29" s="11"/>
      <c r="P29" s="11"/>
      <c r="Q29" s="11"/>
      <c r="R29" s="11"/>
      <c r="S29" s="11"/>
      <c r="T29" s="11"/>
      <c r="U29" s="11"/>
      <c r="V29" s="11"/>
      <c r="X29" s="11"/>
    </row>
    <row r="30" spans="1:24" x14ac:dyDescent="0.3">
      <c r="A30" s="11"/>
      <c r="B30" s="11"/>
      <c r="C30" s="11"/>
      <c r="D30" s="11"/>
      <c r="E30" s="11"/>
      <c r="F30" s="11"/>
      <c r="G30" s="11"/>
      <c r="H30" s="11"/>
      <c r="I30" s="11"/>
      <c r="J30" s="11"/>
      <c r="K30" s="11"/>
      <c r="L30" s="11"/>
      <c r="M30" s="11"/>
      <c r="N30" s="11"/>
      <c r="O30" s="11"/>
      <c r="P30" s="11"/>
      <c r="Q30" s="11"/>
      <c r="R30" s="11"/>
      <c r="S30" s="11"/>
      <c r="T30" s="11"/>
      <c r="U30" s="11"/>
      <c r="V30" s="11"/>
      <c r="X30" s="11"/>
    </row>
    <row r="31" spans="1:24" x14ac:dyDescent="0.3">
      <c r="A31" s="11"/>
      <c r="B31" s="11"/>
      <c r="C31" s="11"/>
      <c r="D31" s="11"/>
      <c r="E31" s="11"/>
      <c r="F31" s="11"/>
      <c r="G31" s="11"/>
      <c r="H31" s="11"/>
      <c r="I31" s="11"/>
      <c r="J31" s="11"/>
      <c r="K31" s="11"/>
      <c r="L31" s="11"/>
      <c r="M31" s="11"/>
      <c r="N31" s="11"/>
      <c r="O31" s="11"/>
      <c r="P31" s="11"/>
      <c r="Q31" s="11"/>
      <c r="R31" s="11"/>
      <c r="S31" s="11"/>
      <c r="T31" s="11"/>
      <c r="U31" s="11"/>
      <c r="V31" s="11"/>
      <c r="X31" s="11"/>
    </row>
    <row r="32" spans="1:24" x14ac:dyDescent="0.3">
      <c r="A32" s="11"/>
      <c r="B32" s="11"/>
      <c r="C32" s="11"/>
      <c r="D32" s="11"/>
      <c r="E32" s="11"/>
      <c r="F32" s="11"/>
      <c r="G32" s="11"/>
      <c r="H32" s="11"/>
      <c r="I32" s="11"/>
      <c r="J32" s="11"/>
      <c r="K32" s="11"/>
      <c r="L32" s="11"/>
      <c r="M32" s="11"/>
      <c r="N32" s="11"/>
      <c r="O32" s="11"/>
      <c r="P32" s="11"/>
      <c r="Q32" s="11"/>
      <c r="R32" s="11"/>
      <c r="S32" s="11"/>
      <c r="T32" s="11"/>
      <c r="U32" s="11"/>
      <c r="V32" s="11"/>
      <c r="X32" s="11"/>
    </row>
    <row r="33" spans="1:24" x14ac:dyDescent="0.3">
      <c r="A33" s="11" t="s">
        <v>99</v>
      </c>
      <c r="B33" s="11" t="s">
        <v>100</v>
      </c>
      <c r="C33" s="11"/>
      <c r="D33" s="11"/>
      <c r="E33" s="11"/>
      <c r="F33" s="11"/>
      <c r="G33" s="11"/>
      <c r="H33" s="11"/>
      <c r="I33" s="11"/>
      <c r="J33" s="11"/>
      <c r="K33" s="11"/>
      <c r="L33" s="11"/>
      <c r="M33" s="11"/>
      <c r="N33" s="11"/>
      <c r="O33" s="11"/>
      <c r="P33" s="11"/>
      <c r="Q33" s="11"/>
      <c r="R33" s="11"/>
      <c r="S33" s="11"/>
      <c r="T33" s="11"/>
      <c r="U33" s="11"/>
      <c r="V33" s="11"/>
      <c r="X33" s="11"/>
    </row>
    <row r="34" spans="1:24" x14ac:dyDescent="0.3">
      <c r="A34" s="11" t="s">
        <v>101</v>
      </c>
      <c r="B34" s="11">
        <f>(EXP(B50+B51*EXP(B25/D22))/((EXP(B50+B51*EXP(B25/D22))+1)))*100</f>
        <v>99.999272239011262</v>
      </c>
      <c r="C34" s="11"/>
      <c r="D34" s="11"/>
      <c r="G34" s="9" t="s">
        <v>24</v>
      </c>
      <c r="H34" s="11">
        <f>(4.59512*((EXP(H37/H38))+EXP(1)))/((EXP(H37/H38))-EXP(1))</f>
        <v>-10.116586872176097</v>
      </c>
      <c r="I34" s="11"/>
      <c r="J34" s="11"/>
      <c r="K34" s="13" t="str">
        <f>'FALL 3'!J74</f>
        <v>Übertrag x'max</v>
      </c>
      <c r="L34" s="13">
        <f>('FALL 3'!K74)</f>
        <v>50</v>
      </c>
      <c r="M34" s="11"/>
      <c r="N34" s="11"/>
      <c r="O34" s="11"/>
      <c r="P34" s="11"/>
      <c r="Q34" s="11"/>
      <c r="R34" s="11"/>
      <c r="S34" s="11"/>
      <c r="T34" s="11"/>
      <c r="U34" s="11"/>
      <c r="V34" s="11"/>
      <c r="X34" s="11"/>
    </row>
    <row r="35" spans="1:24" x14ac:dyDescent="0.3">
      <c r="A35" s="11" t="s">
        <v>102</v>
      </c>
      <c r="B35" s="11">
        <f>$L$38</f>
        <v>0.99999985163325522</v>
      </c>
      <c r="C35" s="13"/>
      <c r="D35" s="13"/>
      <c r="G35" s="9" t="s">
        <v>25</v>
      </c>
      <c r="H35" s="11">
        <f>(-4.59512-H34)/(EXP(H37/H38))</f>
        <v>5.4121345028142098</v>
      </c>
      <c r="I35" s="11"/>
      <c r="J35" s="11"/>
      <c r="K35" s="13" t="str">
        <f>'FALL 3'!J75</f>
        <v>Übertrag x'min</v>
      </c>
      <c r="L35" s="13">
        <f>('FALL 3'!K75)</f>
        <v>1</v>
      </c>
      <c r="M35" s="11"/>
      <c r="N35" s="11"/>
      <c r="O35" s="11"/>
      <c r="P35" s="11"/>
      <c r="Q35" s="11"/>
      <c r="R35" s="11"/>
      <c r="S35" s="11"/>
      <c r="T35" s="11"/>
      <c r="U35" s="11"/>
      <c r="V35" s="11"/>
      <c r="X35" s="11"/>
    </row>
    <row r="36" spans="1:24" ht="14.4" customHeight="1" x14ac:dyDescent="0.3">
      <c r="A36" s="11" t="s">
        <v>103</v>
      </c>
      <c r="B36" s="11">
        <f>$L$37</f>
        <v>99.000000148366738</v>
      </c>
      <c r="C36" s="143"/>
      <c r="D36" s="11"/>
      <c r="G36" s="11"/>
      <c r="H36" s="11"/>
      <c r="I36" s="11"/>
      <c r="J36" s="11"/>
      <c r="K36" s="13"/>
      <c r="L36" s="13"/>
      <c r="M36" s="11"/>
      <c r="N36" s="11"/>
      <c r="O36" s="11"/>
      <c r="P36" s="11"/>
      <c r="Q36" s="11"/>
      <c r="R36" s="11"/>
      <c r="S36" s="11"/>
      <c r="T36" s="11"/>
      <c r="U36" s="11"/>
      <c r="V36" s="11"/>
      <c r="X36" s="11"/>
    </row>
    <row r="37" spans="1:24" ht="14.4" customHeight="1" x14ac:dyDescent="0.3">
      <c r="A37" s="11"/>
      <c r="B37" s="11"/>
      <c r="C37" s="45"/>
      <c r="G37" s="45" t="s">
        <v>26</v>
      </c>
      <c r="H37" s="11">
        <f>'NUR MIT PASSWORT'!$J$20</f>
        <v>1</v>
      </c>
      <c r="I37" s="11"/>
      <c r="J37" s="11"/>
      <c r="K37" s="13" t="str">
        <f>'FALL 3'!J77</f>
        <v>y'(x'max) =</v>
      </c>
      <c r="L37" s="13">
        <f>(EXP(B50+B51*EXP(L34/D22))/((EXP(B50+B51*EXP(L34/D22))+1)))*100</f>
        <v>99.000000148366738</v>
      </c>
      <c r="M37" s="11"/>
      <c r="N37" s="11"/>
      <c r="O37" s="11"/>
      <c r="P37" s="11"/>
      <c r="Q37" s="11"/>
      <c r="R37" s="11"/>
      <c r="S37" s="11"/>
      <c r="T37" s="11"/>
      <c r="U37" s="11"/>
      <c r="V37" s="11"/>
      <c r="X37" s="11"/>
    </row>
    <row r="38" spans="1:24" x14ac:dyDescent="0.3">
      <c r="A38" s="11" t="s">
        <v>104</v>
      </c>
      <c r="B38" s="11"/>
      <c r="C38" s="13"/>
      <c r="D38" s="13"/>
      <c r="G38" s="45" t="s">
        <v>27</v>
      </c>
      <c r="H38" s="11">
        <f>'NUR MIT PASSWORT'!$J$21</f>
        <v>50</v>
      </c>
      <c r="I38" s="11"/>
      <c r="J38" s="11"/>
      <c r="K38" s="13" t="str">
        <f>'FALL 3'!J78</f>
        <v>y'(x'min) =</v>
      </c>
      <c r="L38" s="13">
        <f>(EXP(B50+B51*EXP(L35/D22))/((EXP(B50+B51*EXP(L35/D22))+1)))*100</f>
        <v>0.99999985163325522</v>
      </c>
      <c r="M38" s="11"/>
      <c r="N38" s="11"/>
      <c r="O38" s="11"/>
      <c r="P38" s="11"/>
      <c r="Q38" s="11"/>
      <c r="R38" s="11"/>
      <c r="S38" s="11"/>
      <c r="T38" s="11"/>
      <c r="U38" s="11"/>
      <c r="V38" s="11"/>
      <c r="X38" s="11"/>
    </row>
    <row r="39" spans="1:24" x14ac:dyDescent="0.3">
      <c r="A39" s="9" t="s">
        <v>105</v>
      </c>
      <c r="B39" s="9" t="s">
        <v>115</v>
      </c>
      <c r="C39" s="45"/>
      <c r="D39" s="11"/>
      <c r="G39" s="11"/>
      <c r="H39" s="11"/>
      <c r="I39" s="11"/>
      <c r="J39" s="11"/>
      <c r="K39" s="11"/>
      <c r="L39" s="11"/>
      <c r="M39" s="11"/>
      <c r="N39" s="11"/>
      <c r="O39" s="11"/>
      <c r="P39" s="11"/>
      <c r="Q39" s="11"/>
      <c r="R39" s="11"/>
      <c r="S39" s="11"/>
      <c r="T39" s="11"/>
      <c r="U39" s="11"/>
      <c r="V39" s="11"/>
      <c r="X39" s="11"/>
    </row>
    <row r="40" spans="1:24" x14ac:dyDescent="0.3">
      <c r="A40" s="11" t="s">
        <v>107</v>
      </c>
      <c r="B40" s="11" t="s">
        <v>108</v>
      </c>
      <c r="C40" s="45"/>
      <c r="D40" s="11"/>
      <c r="E40" s="11"/>
      <c r="G40" s="11"/>
      <c r="H40" s="11"/>
      <c r="I40" s="11"/>
      <c r="J40" s="11"/>
      <c r="K40" s="11"/>
      <c r="L40" s="11"/>
      <c r="M40" s="11"/>
      <c r="N40" s="11"/>
      <c r="O40" s="11"/>
      <c r="P40" s="11"/>
      <c r="Q40" s="11"/>
      <c r="R40" s="11"/>
      <c r="S40" s="11"/>
      <c r="T40" s="11"/>
      <c r="U40" s="11"/>
      <c r="V40" s="11"/>
      <c r="X40" s="11"/>
    </row>
    <row r="41" spans="1:24" x14ac:dyDescent="0.3">
      <c r="A41" s="11" t="s">
        <v>109</v>
      </c>
      <c r="B41" s="11">
        <f>(((B26-1)/98)*(B36-B35)+B35)</f>
        <v>99.000000148366738</v>
      </c>
      <c r="C41" s="11"/>
      <c r="D41" s="11"/>
      <c r="E41" s="11"/>
      <c r="F41" s="11"/>
      <c r="G41" s="11"/>
      <c r="H41" s="11"/>
      <c r="I41" s="11"/>
      <c r="J41" s="11"/>
      <c r="K41" s="11"/>
      <c r="L41" s="11"/>
      <c r="M41" s="11"/>
      <c r="N41" s="11"/>
      <c r="O41" s="11"/>
      <c r="P41" s="11"/>
      <c r="Q41" s="11"/>
      <c r="R41" s="11"/>
      <c r="S41" s="11"/>
      <c r="T41" s="11"/>
      <c r="U41" s="11"/>
      <c r="V41" s="11"/>
      <c r="X41" s="11"/>
    </row>
    <row r="42" spans="1:24" x14ac:dyDescent="0.3">
      <c r="A42" s="11" t="s">
        <v>110</v>
      </c>
      <c r="B42" s="11"/>
      <c r="C42" s="11"/>
      <c r="D42" s="11"/>
      <c r="E42" s="11"/>
      <c r="F42" s="11"/>
      <c r="G42" s="11"/>
      <c r="H42" s="11"/>
      <c r="I42" s="11"/>
      <c r="J42" s="11"/>
      <c r="K42" s="11"/>
      <c r="L42" s="11"/>
      <c r="M42" s="11"/>
      <c r="N42" s="11"/>
      <c r="O42" s="11"/>
      <c r="P42" s="11"/>
      <c r="Q42" s="11"/>
      <c r="R42" s="11"/>
      <c r="S42" s="11"/>
      <c r="T42" s="11"/>
      <c r="U42" s="11"/>
      <c r="V42" s="11"/>
      <c r="X42" s="11"/>
    </row>
    <row r="43" spans="1:24" x14ac:dyDescent="0.3">
      <c r="A43" s="11" t="s">
        <v>111</v>
      </c>
      <c r="B43" s="11"/>
      <c r="C43" s="11"/>
      <c r="D43" s="11" t="s">
        <v>118</v>
      </c>
      <c r="E43" s="11" t="s">
        <v>119</v>
      </c>
      <c r="F43" s="11" t="s">
        <v>16</v>
      </c>
      <c r="G43" s="11" t="s">
        <v>19</v>
      </c>
      <c r="H43" s="11"/>
      <c r="I43" s="11"/>
      <c r="J43" s="11"/>
      <c r="K43" s="11"/>
      <c r="L43" s="11"/>
      <c r="M43" s="11"/>
      <c r="N43" s="11"/>
      <c r="O43" s="11"/>
      <c r="P43" s="11"/>
      <c r="Q43" s="11"/>
      <c r="R43" s="11"/>
      <c r="S43" s="11"/>
      <c r="T43" s="11"/>
      <c r="U43" s="11"/>
      <c r="V43" s="11"/>
      <c r="X43" s="11"/>
    </row>
    <row r="44" spans="1:24" x14ac:dyDescent="0.3">
      <c r="A44" s="9" t="s">
        <v>9</v>
      </c>
      <c r="C44" s="11">
        <f>(EXP(D44/D64))</f>
        <v>1.0202013400267558</v>
      </c>
      <c r="D44" s="11">
        <f>$B$53</f>
        <v>1</v>
      </c>
      <c r="E44" s="11">
        <f>(EXP(B50+B51*C44))/((EXP(B50+B51*C44))+1)*100</f>
        <v>0.99999985163325522</v>
      </c>
      <c r="F44" s="11">
        <f>(B51*(EXP(B50+B51*C44)))/(((EXP(B50+B51*C44))+1)^2)</f>
        <v>5.3580123708649049E-2</v>
      </c>
      <c r="G44" s="11">
        <f>(F44/B56)</f>
        <v>3.9599994184023608E-2</v>
      </c>
      <c r="H44" s="11"/>
      <c r="I44" s="11"/>
      <c r="J44" s="11"/>
      <c r="K44" s="11"/>
      <c r="L44" s="11"/>
      <c r="M44" s="11"/>
      <c r="N44" s="11"/>
      <c r="O44" s="11"/>
      <c r="P44" s="11"/>
      <c r="Q44" s="11"/>
      <c r="R44" s="11"/>
      <c r="S44" s="11"/>
      <c r="T44" s="11"/>
      <c r="U44" s="11"/>
      <c r="V44" s="11"/>
      <c r="X44" s="11"/>
    </row>
    <row r="45" spans="1:24" x14ac:dyDescent="0.3">
      <c r="A45" s="9" t="s">
        <v>30</v>
      </c>
      <c r="B45" s="11">
        <f>(-B50/B51)</f>
        <v>1.8692415842429007</v>
      </c>
      <c r="C45" s="11">
        <f>(EXP(D45/D64))</f>
        <v>1.0714362091483463</v>
      </c>
      <c r="D45" s="11">
        <f>(D44+D69)</f>
        <v>3.45</v>
      </c>
      <c r="E45" s="11">
        <f>(EXP(B50+B51*C45))/((EXP(B50+B51*C45))+1)*100</f>
        <v>1.3153456198336129</v>
      </c>
      <c r="F45" s="11">
        <f>(B51*(EXP(B50+B51*C45)))/(((EXP(B50+B51*C45))+1)^2)</f>
        <v>7.0251902276767975E-2</v>
      </c>
      <c r="G45" s="11">
        <f>(F45/B56)</f>
        <v>5.1921771153498338E-2</v>
      </c>
      <c r="H45" s="11"/>
      <c r="I45" s="11"/>
      <c r="J45" s="11"/>
      <c r="K45" s="11"/>
      <c r="L45" s="11"/>
      <c r="M45" s="11"/>
      <c r="N45" s="11"/>
      <c r="O45" s="11"/>
      <c r="P45" s="11"/>
      <c r="Q45" s="11"/>
      <c r="R45" s="11"/>
      <c r="S45" s="11"/>
      <c r="T45" s="11"/>
      <c r="U45" s="11"/>
      <c r="V45" s="11"/>
      <c r="X45" s="11"/>
    </row>
    <row r="46" spans="1:24" x14ac:dyDescent="0.3">
      <c r="B46" s="11"/>
      <c r="C46" s="11">
        <f>(EXP(D46/D64))</f>
        <v>1.1252441113673424</v>
      </c>
      <c r="D46" s="11">
        <f>(D45+D69)</f>
        <v>5.9</v>
      </c>
      <c r="E46" s="11">
        <f>(EXP(B50+B51*C46))/((EXP(B50+B51*C46))+1)*100</f>
        <v>1.7522108875345146</v>
      </c>
      <c r="F46" s="11">
        <f>(B51*(EXP(B50+B51*C46)))/(((EXP(B50+B51*C46))+1)^2)</f>
        <v>9.3170353202123954E-2</v>
      </c>
      <c r="G46" s="11">
        <f>(F46/B56)</f>
        <v>6.8860338303622787E-2</v>
      </c>
      <c r="H46" s="11"/>
      <c r="I46" s="11"/>
      <c r="J46" s="11"/>
      <c r="K46" s="11"/>
      <c r="L46" s="11"/>
      <c r="M46" s="11"/>
      <c r="N46" s="11"/>
      <c r="O46" s="11"/>
      <c r="P46" s="11"/>
      <c r="Q46" s="11"/>
      <c r="R46" s="11"/>
      <c r="S46" s="11"/>
      <c r="T46" s="11"/>
      <c r="U46" s="11"/>
      <c r="V46" s="11"/>
    </row>
    <row r="47" spans="1:24" x14ac:dyDescent="0.3">
      <c r="B47" s="11"/>
      <c r="C47" s="11">
        <f>(EXP(D47/D64))</f>
        <v>1.1817542653083615</v>
      </c>
      <c r="D47" s="11">
        <f>(D46+D69)</f>
        <v>8.3500000000000014</v>
      </c>
      <c r="E47" s="11">
        <f>(EXP(B50+B51*C47))/((EXP(B50+B51*C47))+1)*100</f>
        <v>2.364270847677429</v>
      </c>
      <c r="F47" s="11">
        <f>(B51*(EXP(B50+B51*C47)))/(((EXP(B50+B51*C47))+1)^2)</f>
        <v>0.12493225598485405</v>
      </c>
      <c r="G47" s="11">
        <f>(F47/B56)</f>
        <v>9.2334923250626227E-2</v>
      </c>
      <c r="H47" s="11"/>
      <c r="I47" s="11"/>
      <c r="J47" s="11"/>
      <c r="K47" s="11"/>
      <c r="L47" s="11"/>
      <c r="M47" s="11"/>
      <c r="N47" s="11"/>
      <c r="O47" s="11"/>
      <c r="P47" s="11"/>
      <c r="Q47" s="11"/>
      <c r="R47" s="11"/>
      <c r="S47" s="11"/>
      <c r="T47" s="11"/>
      <c r="U47" s="11"/>
      <c r="V47" s="11"/>
    </row>
    <row r="48" spans="1:24" x14ac:dyDescent="0.3">
      <c r="C48" s="11">
        <f>(EXP(D48/D64))</f>
        <v>1.2411023790006717</v>
      </c>
      <c r="D48" s="11">
        <f>(D47+D69)</f>
        <v>10.8</v>
      </c>
      <c r="E48" s="11">
        <f>(EXP(B50+B51*C48))/((EXP(B50+B51*C48))+1)*100</f>
        <v>3.2308785115201433</v>
      </c>
      <c r="F48" s="11">
        <f>(B51*(EXP(B50+B51*C48)))/(((EXP(B50+B51*C48))+1)^2)</f>
        <v>0.16920999295671071</v>
      </c>
      <c r="G48" s="11">
        <f>(F48/B56)</f>
        <v>0.12505971007832467</v>
      </c>
      <c r="H48" s="11"/>
      <c r="I48" s="11"/>
      <c r="J48" s="11"/>
      <c r="K48" s="11"/>
      <c r="L48" s="11"/>
      <c r="M48" s="11"/>
      <c r="N48" s="11"/>
      <c r="O48" s="11"/>
      <c r="P48" s="11"/>
      <c r="Q48" s="11"/>
      <c r="R48" s="11"/>
      <c r="S48" s="11"/>
      <c r="T48" s="11"/>
      <c r="U48" s="11"/>
      <c r="V48" s="11"/>
    </row>
    <row r="49" spans="1:22" x14ac:dyDescent="0.3">
      <c r="C49" s="11">
        <f>(EXP(D49/D64))</f>
        <v>1.3034309757783689</v>
      </c>
      <c r="D49" s="11">
        <f>(D48+D69)</f>
        <v>13.25</v>
      </c>
      <c r="E49" s="11">
        <f>(EXP(B50+B51*C49))/((EXP(B50+B51*C49))+1)*100</f>
        <v>4.4691836512288079</v>
      </c>
      <c r="F49" s="11">
        <f>(B51*(EXP(B50+B51*C49)))/(((EXP(B50+B51*C49))+1)^2)</f>
        <v>0.23106824805415954</v>
      </c>
      <c r="G49" s="11">
        <f>(F49/B56)</f>
        <v>0.17077790504578799</v>
      </c>
      <c r="H49" s="11"/>
      <c r="I49" s="11"/>
      <c r="J49" s="11"/>
      <c r="K49" s="11"/>
      <c r="L49" s="11"/>
      <c r="M49" s="11"/>
      <c r="N49" s="11"/>
      <c r="O49" s="11"/>
      <c r="P49" s="11"/>
      <c r="Q49" s="11"/>
      <c r="R49" s="11"/>
      <c r="S49" s="11"/>
      <c r="T49" s="11"/>
      <c r="U49" s="11"/>
      <c r="V49" s="11"/>
    </row>
    <row r="50" spans="1:22" x14ac:dyDescent="0.3">
      <c r="A50" s="9" t="s">
        <v>10</v>
      </c>
      <c r="B50" s="11">
        <f>$H$34</f>
        <v>-10.116586872176097</v>
      </c>
      <c r="C50" s="11">
        <f>(EXP(D50/D64))</f>
        <v>1.3688897365473756</v>
      </c>
      <c r="D50" s="11">
        <f>(D49+D69)</f>
        <v>15.7</v>
      </c>
      <c r="E50" s="11">
        <f>(EXP(B50+B51*C50))/((EXP(B50+B51*C50))+1)*100</f>
        <v>6.250461164174177</v>
      </c>
      <c r="F50" s="11">
        <f>(B51*(EXP(B50+B51*C50)))/(((EXP(B50+B51*C50))+1)^2)</f>
        <v>0.31713909488138103</v>
      </c>
      <c r="G50" s="11">
        <f>(F50/B56)</f>
        <v>0.23439114066102723</v>
      </c>
      <c r="H50" s="11"/>
      <c r="I50" s="11"/>
      <c r="J50" s="11"/>
      <c r="K50" s="11"/>
      <c r="L50" s="11"/>
      <c r="M50" s="11"/>
      <c r="N50" s="11"/>
      <c r="O50" s="11"/>
      <c r="P50" s="11"/>
      <c r="Q50" s="11"/>
      <c r="R50" s="11"/>
      <c r="S50" s="11"/>
      <c r="T50" s="11"/>
      <c r="U50" s="11"/>
      <c r="V50" s="11"/>
    </row>
    <row r="51" spans="1:22" x14ac:dyDescent="0.3">
      <c r="A51" s="9" t="s">
        <v>11</v>
      </c>
      <c r="B51" s="11">
        <f>$H$35</f>
        <v>5.4121345028142098</v>
      </c>
      <c r="C51" s="11">
        <f>(EXP(D51/D64))</f>
        <v>1.4376358592412095</v>
      </c>
      <c r="D51" s="11">
        <f>(D50+D69)</f>
        <v>18.149999999999999</v>
      </c>
      <c r="E51" s="11">
        <f>(EXP(B50+B51*C51))/((EXP(B50+B51*C51))+1)*100</f>
        <v>8.8192398030841535</v>
      </c>
      <c r="F51" s="11">
        <f>(B51*(EXP(B50+B51*C51)))/(((EXP(B50+B51*C51))+1)^2)</f>
        <v>0.43521408435015857</v>
      </c>
      <c r="G51" s="11">
        <f>(F51/B56)</f>
        <v>0.32165799584164456</v>
      </c>
      <c r="H51" s="11"/>
      <c r="I51" s="11"/>
      <c r="J51" s="11"/>
      <c r="K51" s="11"/>
      <c r="N51" s="11"/>
      <c r="O51" s="11"/>
      <c r="P51" s="11"/>
      <c r="Q51" s="11"/>
      <c r="R51" s="11"/>
      <c r="S51" s="11"/>
      <c r="T51" s="11"/>
      <c r="U51" s="11"/>
      <c r="V51" s="11"/>
    </row>
    <row r="52" spans="1:22" x14ac:dyDescent="0.3">
      <c r="C52" s="11">
        <f>(EXP(D52/D64))</f>
        <v>1.5098344363287448</v>
      </c>
      <c r="D52" s="11">
        <f>(D51+D69)</f>
        <v>20.599999999999998</v>
      </c>
      <c r="E52" s="11">
        <f>(EXP(B50+B51*C52))/((EXP(B50+B51*C52))+1)*100</f>
        <v>12.508208970160108</v>
      </c>
      <c r="F52" s="11">
        <f>(B51*(EXP(B50+B51*C52)))/(((EXP(B50+B51*C52))+1)^2)</f>
        <v>0.59228538515422069</v>
      </c>
      <c r="G52" s="11">
        <f>(F52/B56)</f>
        <v>0.4377462421499268</v>
      </c>
      <c r="H52" s="11"/>
      <c r="I52" s="11"/>
      <c r="J52" s="11"/>
      <c r="K52" s="11"/>
      <c r="N52" s="11"/>
      <c r="O52" s="11"/>
      <c r="P52" s="11"/>
      <c r="Q52" s="11"/>
      <c r="R52" s="11"/>
      <c r="S52" s="11"/>
      <c r="T52" s="11"/>
      <c r="U52" s="11"/>
      <c r="V52" s="11"/>
    </row>
    <row r="53" spans="1:22" x14ac:dyDescent="0.3">
      <c r="A53" s="9" t="s">
        <v>28</v>
      </c>
      <c r="B53" s="11">
        <f>$H$37</f>
        <v>1</v>
      </c>
      <c r="C53" s="11">
        <f>(EXP(D53/D64))</f>
        <v>1.585658851280547</v>
      </c>
      <c r="D53" s="11">
        <f>(D52+D69)</f>
        <v>23.049999999999997</v>
      </c>
      <c r="E53" s="11">
        <f>(EXP(B50+B51*C53))/((EXP(B50+B51*C53))+1)*100</f>
        <v>17.729423952985222</v>
      </c>
      <c r="F53" s="11">
        <f>(B51*(EXP(B50+B51*C53)))/(((EXP(B50+B51*C53))+1)^2)</f>
        <v>0.78941930828051288</v>
      </c>
      <c r="G53" s="11">
        <f>(F53/B56)</f>
        <v>0.58344396863753434</v>
      </c>
      <c r="H53" s="11"/>
      <c r="I53" s="11"/>
      <c r="J53" s="11"/>
      <c r="K53" s="11"/>
      <c r="N53" s="11"/>
      <c r="O53" s="11"/>
      <c r="P53" s="11"/>
      <c r="Q53" s="11"/>
      <c r="R53" s="11"/>
      <c r="S53" s="11"/>
      <c r="T53" s="11"/>
      <c r="U53" s="11"/>
      <c r="V53" s="11"/>
    </row>
    <row r="54" spans="1:22" x14ac:dyDescent="0.3">
      <c r="A54" s="9" t="s">
        <v>29</v>
      </c>
      <c r="B54" s="11">
        <f>$H$38</f>
        <v>50</v>
      </c>
      <c r="C54" s="11">
        <f>(EXP(D54/D64))</f>
        <v>1.6652911949458862</v>
      </c>
      <c r="D54" s="11">
        <f>(D53+D69)</f>
        <v>25.499999999999996</v>
      </c>
      <c r="E54" s="11">
        <f>(EXP(B50+B51*C54))/((EXP(B50+B51*C54))+1)*100</f>
        <v>24.902726854190078</v>
      </c>
      <c r="F54" s="11">
        <f>(B51*(EXP(B50+B51*C54)))/(((EXP(B50+B51*C54))+1)^2)</f>
        <v>1.0121378215376995</v>
      </c>
      <c r="G54" s="11">
        <f>(F54/B56)</f>
        <v>0.74805075225784323</v>
      </c>
      <c r="H54" s="11"/>
      <c r="I54" s="11"/>
      <c r="J54" s="11"/>
      <c r="K54" s="11"/>
      <c r="O54" s="11"/>
      <c r="P54" s="11"/>
      <c r="Q54" s="11"/>
      <c r="R54" s="11"/>
      <c r="S54" s="11"/>
      <c r="T54" s="11"/>
      <c r="U54" s="11"/>
      <c r="V54" s="11"/>
    </row>
    <row r="55" spans="1:22" x14ac:dyDescent="0.3">
      <c r="A55" s="9" t="s">
        <v>13</v>
      </c>
      <c r="B55" s="11">
        <f>((LN((0.5/(1-0.5))))-B50)/B51</f>
        <v>1.8692415842429007</v>
      </c>
      <c r="C55" s="11">
        <f>(EXP(D55/D64))</f>
        <v>1.7489227028403491</v>
      </c>
      <c r="D55" s="11">
        <f>(D54+D69)</f>
        <v>27.949999999999996</v>
      </c>
      <c r="E55" s="11">
        <f>(EXP(B50+B51*C55))/((EXP(B50+B51*C55))+1)*100</f>
        <v>34.272323268049234</v>
      </c>
      <c r="F55" s="11">
        <f>(B51*(EXP(B50+B51*C55)))/(((EXP(B50+B51*C55))+1)^2)</f>
        <v>1.2191591665581991</v>
      </c>
      <c r="G55" s="11">
        <f>(F55/B56)</f>
        <v>0.90105607384610187</v>
      </c>
      <c r="H55" s="11"/>
      <c r="I55" s="11"/>
      <c r="J55" s="11"/>
      <c r="K55" s="11"/>
      <c r="L55" s="11"/>
      <c r="M55" s="11"/>
      <c r="O55" s="11"/>
      <c r="P55" s="11"/>
      <c r="Q55" s="11"/>
      <c r="R55" s="11"/>
      <c r="S55" s="11"/>
      <c r="T55" s="11"/>
      <c r="U55" s="11"/>
      <c r="V55" s="11"/>
    </row>
    <row r="56" spans="1:22" x14ac:dyDescent="0.3">
      <c r="A56" s="9" t="s">
        <v>17</v>
      </c>
      <c r="B56" s="11">
        <f>(B51*(EXP(B50+B51*B45)))/(((EXP(B50+B51*B45))+1)^2)</f>
        <v>1.3530336257035525</v>
      </c>
      <c r="C56" s="11">
        <f>(EXP(D56/D64))</f>
        <v>1.8367542143941895</v>
      </c>
      <c r="D56" s="11">
        <f>(D55+D69)</f>
        <v>30.399999999999995</v>
      </c>
      <c r="E56" s="11">
        <f>(EXP(B50+B51*C56))/((EXP(B50+B51*C56))+1)*100</f>
        <v>45.615638935511065</v>
      </c>
      <c r="F56" s="11">
        <f>(B51*(EXP(B50+B51*C56)))/(((EXP(B50+B51*C56))+1)^2)</f>
        <v>1.3426300841578898</v>
      </c>
      <c r="G56" s="11">
        <f>(F56/B56)</f>
        <v>0.99231095122247748</v>
      </c>
      <c r="H56" s="11"/>
      <c r="I56" s="11"/>
      <c r="J56" s="11"/>
      <c r="K56" s="11"/>
      <c r="L56" s="11"/>
      <c r="M56" s="11"/>
      <c r="O56" s="11"/>
      <c r="P56" s="11"/>
      <c r="Q56" s="11"/>
      <c r="R56" s="11"/>
      <c r="S56" s="11"/>
      <c r="T56" s="11"/>
      <c r="U56" s="11"/>
      <c r="V56" s="11"/>
    </row>
    <row r="57" spans="1:22" x14ac:dyDescent="0.3">
      <c r="C57" s="11">
        <f>(EXP(D57/D64))</f>
        <v>1.9289966552642905</v>
      </c>
      <c r="D57" s="11">
        <f>(D56+D69)</f>
        <v>32.849999999999994</v>
      </c>
      <c r="E57" s="11">
        <f>(EXP(B50+B51*C57))/((EXP(B50+B51*C57))+1)*100</f>
        <v>58.015323844366307</v>
      </c>
      <c r="F57" s="11">
        <f>(B51*(EXP(B50+B51*C57)))/(((EXP(B50+B51*C57))+1)^2)</f>
        <v>1.3182631422667908</v>
      </c>
      <c r="G57" s="11">
        <f>(F57/B56)</f>
        <v>0.97430183346797339</v>
      </c>
      <c r="H57" s="11"/>
      <c r="I57" s="11"/>
      <c r="J57" s="11"/>
      <c r="K57" s="11"/>
      <c r="L57" s="11"/>
      <c r="M57" s="13"/>
      <c r="O57" s="11"/>
      <c r="P57" s="11"/>
      <c r="Q57" s="11"/>
      <c r="R57" s="11"/>
      <c r="S57" s="11"/>
      <c r="T57" s="11"/>
      <c r="U57" s="11"/>
      <c r="V57" s="11"/>
    </row>
    <row r="58" spans="1:22" x14ac:dyDescent="0.3">
      <c r="C58" s="11">
        <f>(EXP(D58/D64))</f>
        <v>2.0258715438680044</v>
      </c>
      <c r="D58" s="11">
        <f>(D57+D69)</f>
        <v>35.299999999999997</v>
      </c>
      <c r="E58" s="11">
        <f>(EXP(B50+B51*C58))/((EXP(B50+B51*C58))+1)*100</f>
        <v>70.008494826329255</v>
      </c>
      <c r="F58" s="11">
        <f>(B51*(EXP(B50+B51*C58)))/(((EXP(B50+B51*C58))+1)^2)</f>
        <v>1.1363643059652111</v>
      </c>
      <c r="G58" s="11">
        <f>(F58/B56)</f>
        <v>0.83986405391390229</v>
      </c>
      <c r="H58" s="11"/>
      <c r="I58" s="11"/>
      <c r="J58" s="11"/>
      <c r="K58" s="11"/>
      <c r="L58" s="11"/>
      <c r="M58" s="11"/>
      <c r="O58" s="11"/>
      <c r="P58" s="11"/>
      <c r="Q58" s="11"/>
      <c r="R58" s="11"/>
      <c r="S58" s="11"/>
      <c r="T58" s="11"/>
      <c r="U58" s="11"/>
      <c r="V58" s="11"/>
    </row>
    <row r="59" spans="1:22" x14ac:dyDescent="0.3">
      <c r="B59" s="11"/>
      <c r="C59" s="11">
        <f>(EXP(D59/D64))</f>
        <v>2.1276115233552981</v>
      </c>
      <c r="D59" s="11">
        <f>(D58+D69)</f>
        <v>37.75</v>
      </c>
      <c r="E59" s="11">
        <f>(EXP(B50+B51*C59))/((EXP(B50+B51*C59))+1)*100</f>
        <v>80.191920564837744</v>
      </c>
      <c r="F59" s="11">
        <f>(B51*(EXP(B50+B51*C59)))/(((EXP(B50+B51*C59))+1)^2)</f>
        <v>0.85968938619836888</v>
      </c>
      <c r="G59" s="11">
        <f>(F59/B56)</f>
        <v>0.63537917304261105</v>
      </c>
      <c r="L59" s="11"/>
      <c r="M59" s="11"/>
      <c r="O59" s="11"/>
      <c r="P59" s="11"/>
      <c r="Q59" s="11"/>
      <c r="R59" s="11"/>
      <c r="S59" s="11"/>
      <c r="T59" s="11"/>
      <c r="U59" s="11"/>
      <c r="V59" s="11"/>
    </row>
    <row r="60" spans="1:22" x14ac:dyDescent="0.3">
      <c r="B60" s="11"/>
      <c r="C60" s="11">
        <f>(EXP(D60/D64))</f>
        <v>2.2344609202967267</v>
      </c>
      <c r="D60" s="11">
        <f>(D59+D69)</f>
        <v>40.200000000000003</v>
      </c>
      <c r="E60" s="11">
        <f>(EXP(B50+B51*C60))/((EXP(B50+B51*C60))+1)*100</f>
        <v>87.83199813800266</v>
      </c>
      <c r="F60" s="11">
        <f>(B51*(EXP(B50+B51*C60)))/(((EXP(B50+B51*C60))+1)^2)</f>
        <v>0.5784164178714396</v>
      </c>
      <c r="G60" s="11">
        <f>(F60/B56)</f>
        <v>0.42749596675446538</v>
      </c>
      <c r="L60" s="11"/>
      <c r="M60" s="11"/>
      <c r="O60" s="11"/>
      <c r="P60" s="11"/>
      <c r="Q60" s="11"/>
      <c r="R60" s="11"/>
      <c r="S60" s="11"/>
      <c r="T60" s="11"/>
      <c r="U60" s="11"/>
      <c r="V60" s="11"/>
    </row>
    <row r="61" spans="1:22" x14ac:dyDescent="0.3">
      <c r="B61" s="11"/>
      <c r="C61" s="11">
        <f>(EXP(D61/D64))</f>
        <v>2.3466763314289145</v>
      </c>
      <c r="D61" s="11">
        <f>(D60+D69)</f>
        <v>42.650000000000006</v>
      </c>
      <c r="E61" s="11">
        <f>(EXP(B50+B51*C61))/((EXP(B50+B51*C61))+1)*100</f>
        <v>92.982087566274302</v>
      </c>
      <c r="F61" s="11">
        <f>(B51*(EXP(B50+B51*C61)))/(((EXP(B50+B51*C61))+1)^2)</f>
        <v>0.35316350518713829</v>
      </c>
      <c r="G61" s="11">
        <f>(F61/B56)</f>
        <v>0.26101605937805117</v>
      </c>
      <c r="L61" s="11"/>
      <c r="M61" s="11"/>
      <c r="O61" s="11"/>
      <c r="P61" s="11"/>
      <c r="Q61" s="11"/>
      <c r="R61" s="11"/>
      <c r="S61" s="11"/>
      <c r="T61" s="11"/>
      <c r="U61" s="11"/>
      <c r="V61" s="11"/>
    </row>
    <row r="62" spans="1:22" x14ac:dyDescent="0.3">
      <c r="B62" s="11"/>
      <c r="C62" s="11">
        <f>(EXP(D62/D64))</f>
        <v>2.4645272398665976</v>
      </c>
      <c r="D62" s="11">
        <f>(D61+D69)</f>
        <v>45.100000000000009</v>
      </c>
      <c r="E62" s="11">
        <f>(EXP(B50+B51*C62))/((EXP(B50+B51*C62))+1)*100</f>
        <v>96.164520557375951</v>
      </c>
      <c r="F62" s="11">
        <f>(B51*(EXP(B50+B51*C62)))/(((EXP(B50+B51*C62))+1)^2)</f>
        <v>0.19961956793416977</v>
      </c>
      <c r="G62" s="11">
        <f>(F62/B56)</f>
        <v>0.14753481668304533</v>
      </c>
      <c r="L62" s="11"/>
      <c r="M62" s="11"/>
      <c r="O62" s="11"/>
      <c r="P62" s="11"/>
      <c r="Q62" s="11"/>
      <c r="R62" s="11"/>
      <c r="S62" s="11"/>
      <c r="T62" s="11"/>
      <c r="U62" s="11"/>
      <c r="V62" s="11"/>
    </row>
    <row r="63" spans="1:22" x14ac:dyDescent="0.3">
      <c r="B63" s="11"/>
      <c r="C63" s="11">
        <f>(EXP(D63/D64))</f>
        <v>2.5882966622610515</v>
      </c>
      <c r="D63" s="11">
        <f>(D62+D69)</f>
        <v>47.550000000000011</v>
      </c>
      <c r="E63" s="11">
        <f>(EXP(B50+B51*C63))/((EXP(B50+B51*C63))+1)*100</f>
        <v>97.999612861448483</v>
      </c>
      <c r="F63" s="11">
        <f>(B51*(EXP(B50+B51*C63)))/(((EXP(B50+B51*C63))+1)^2)</f>
        <v>0.10609795053479892</v>
      </c>
      <c r="G63" s="11">
        <f>(F63/B56)</f>
        <v>7.841486606042769E-2</v>
      </c>
      <c r="L63" s="11"/>
      <c r="M63" s="11"/>
      <c r="O63" s="11"/>
      <c r="P63" s="11"/>
      <c r="Q63" s="11"/>
      <c r="R63" s="11"/>
      <c r="S63" s="11"/>
      <c r="T63" s="11"/>
      <c r="U63" s="11"/>
      <c r="V63" s="11"/>
    </row>
    <row r="64" spans="1:22" x14ac:dyDescent="0.3">
      <c r="B64" s="11"/>
      <c r="C64" s="11">
        <f>(EXP(D64/D64))</f>
        <v>2.7182818284590451</v>
      </c>
      <c r="D64" s="11">
        <f>$B$54</f>
        <v>50</v>
      </c>
      <c r="E64" s="11">
        <f>(EXP(B50+B51*C64))/((EXP(B50+B51*C64))+1)*100</f>
        <v>99.000000148366738</v>
      </c>
      <c r="F64" s="11">
        <f>(B51*(EXP(B50+B51*C64)))/(((EXP(B50+B51*C64))+1)^2)</f>
        <v>5.3580123708649133E-2</v>
      </c>
      <c r="G64" s="11">
        <f>(F64/B56)</f>
        <v>3.9599994184023664E-2</v>
      </c>
      <c r="L64" s="11"/>
      <c r="M64" s="11"/>
      <c r="O64" s="11"/>
      <c r="P64" s="11"/>
      <c r="Q64" s="11"/>
      <c r="R64" s="11"/>
      <c r="S64" s="11"/>
      <c r="T64" s="11"/>
      <c r="U64" s="11"/>
      <c r="V64" s="11"/>
    </row>
    <row r="65" spans="1:22" ht="21" x14ac:dyDescent="0.4">
      <c r="A65" s="48"/>
      <c r="B65" s="9" t="s">
        <v>35</v>
      </c>
      <c r="C65" s="11"/>
      <c r="D65" s="11">
        <f>'FALL 4'!$D$66</f>
        <v>1</v>
      </c>
      <c r="E65" s="11"/>
      <c r="F65" s="11"/>
      <c r="G65" s="11"/>
      <c r="H65" s="11" t="str">
        <f ca="1">'FALL 4'!H103</f>
        <v/>
      </c>
      <c r="I65" s="11"/>
      <c r="L65" s="11"/>
      <c r="M65" s="11"/>
      <c r="O65" s="11"/>
      <c r="P65" s="11"/>
      <c r="Q65" s="11"/>
      <c r="R65" s="11"/>
      <c r="S65" s="11"/>
      <c r="T65" s="11"/>
      <c r="U65" s="11"/>
      <c r="V65" s="11"/>
    </row>
    <row r="66" spans="1:22" x14ac:dyDescent="0.3">
      <c r="A66" s="45"/>
      <c r="B66" s="9" t="s">
        <v>35</v>
      </c>
      <c r="C66" s="11"/>
      <c r="D66" s="11">
        <f>'FALL 4'!$D$67</f>
        <v>1</v>
      </c>
      <c r="E66" s="11"/>
      <c r="F66" s="11"/>
      <c r="G66" s="11"/>
      <c r="H66" s="11">
        <v>99</v>
      </c>
      <c r="I66" s="11"/>
      <c r="L66" s="11"/>
      <c r="M66" s="11"/>
      <c r="O66" s="11"/>
      <c r="P66" s="11"/>
      <c r="Q66" s="11"/>
      <c r="R66" s="11"/>
      <c r="S66" s="11"/>
      <c r="T66" s="11"/>
      <c r="U66" s="11"/>
      <c r="V66" s="11"/>
    </row>
    <row r="67" spans="1:22" x14ac:dyDescent="0.3">
      <c r="A67" s="45"/>
      <c r="B67" s="9" t="s">
        <v>36</v>
      </c>
      <c r="C67" s="11"/>
      <c r="D67" s="11">
        <f>'FALL 4'!$D$68</f>
        <v>50</v>
      </c>
      <c r="E67" s="11"/>
      <c r="F67" s="11"/>
      <c r="G67" s="11"/>
      <c r="H67" s="11"/>
      <c r="I67" s="11">
        <v>0</v>
      </c>
      <c r="L67" s="11"/>
      <c r="M67" s="11"/>
      <c r="O67" s="11"/>
      <c r="P67" s="11"/>
      <c r="Q67" s="11"/>
      <c r="R67" s="11"/>
      <c r="S67" s="11"/>
      <c r="T67" s="11"/>
      <c r="U67" s="11"/>
      <c r="V67" s="11"/>
    </row>
    <row r="68" spans="1:22" x14ac:dyDescent="0.3">
      <c r="A68" s="45"/>
      <c r="B68" s="9" t="s">
        <v>36</v>
      </c>
      <c r="C68" s="11"/>
      <c r="D68" s="11">
        <f>'FALL 4'!$D$69</f>
        <v>50</v>
      </c>
      <c r="E68" s="11"/>
      <c r="F68" s="11"/>
      <c r="G68" s="11"/>
      <c r="H68" s="11"/>
      <c r="I68" s="11">
        <v>99</v>
      </c>
      <c r="L68" s="11"/>
      <c r="M68" s="11"/>
      <c r="O68" s="11"/>
      <c r="P68" s="11"/>
      <c r="Q68" s="11"/>
      <c r="R68" s="11"/>
      <c r="S68" s="11"/>
      <c r="T68" s="11"/>
      <c r="U68" s="11"/>
      <c r="V68" s="11"/>
    </row>
    <row r="69" spans="1:22" x14ac:dyDescent="0.3">
      <c r="A69" s="11"/>
      <c r="B69" s="11"/>
      <c r="C69" s="11"/>
      <c r="D69" s="13">
        <f>(D64-D44)/20</f>
        <v>2.4500000000000002</v>
      </c>
      <c r="E69" s="11"/>
      <c r="F69" s="11"/>
      <c r="G69" s="11"/>
      <c r="H69" s="11"/>
      <c r="I69" s="11"/>
      <c r="L69" s="11"/>
      <c r="M69" s="11"/>
      <c r="O69" s="11"/>
      <c r="P69" s="11"/>
      <c r="Q69" s="11"/>
      <c r="R69" s="11"/>
      <c r="S69" s="11"/>
      <c r="T69" s="11"/>
      <c r="U69" s="11"/>
      <c r="V69" s="11"/>
    </row>
    <row r="70" spans="1:22" x14ac:dyDescent="0.3">
      <c r="A70" s="11"/>
      <c r="B70" s="11"/>
      <c r="C70" s="11"/>
      <c r="D70" s="11"/>
      <c r="E70" s="11"/>
      <c r="F70" s="11"/>
      <c r="G70" s="11"/>
      <c r="H70" s="11"/>
      <c r="I70" s="11"/>
      <c r="L70" s="11"/>
      <c r="M70" s="11"/>
      <c r="O70" s="11"/>
      <c r="P70" s="11"/>
      <c r="Q70" s="11"/>
      <c r="R70" s="11"/>
      <c r="S70" s="11"/>
      <c r="T70" s="11"/>
      <c r="U70" s="11"/>
      <c r="V70" s="11"/>
    </row>
    <row r="71" spans="1:22" x14ac:dyDescent="0.3">
      <c r="A71" s="11"/>
      <c r="B71" s="11"/>
      <c r="C71" s="11"/>
    </row>
    <row r="72" spans="1:22" x14ac:dyDescent="0.3">
      <c r="A72" s="11"/>
      <c r="B72" s="11"/>
      <c r="C72" s="11"/>
      <c r="I72" s="52"/>
      <c r="J72" s="52"/>
      <c r="K72" s="52"/>
      <c r="L72" s="52"/>
      <c r="M72" s="52"/>
      <c r="N72" s="52"/>
      <c r="O72" s="52"/>
      <c r="P72" s="52"/>
      <c r="Q72" s="52"/>
      <c r="R72" s="52"/>
      <c r="S72" s="52"/>
      <c r="T72" s="52"/>
    </row>
    <row r="73" spans="1:22" x14ac:dyDescent="0.3">
      <c r="A73" s="11" t="str">
        <f>'FALL 3'!A73</f>
        <v>Zufall gleichverteilt</v>
      </c>
      <c r="B73" s="11" t="str">
        <f>'FALL 3'!B73</f>
        <v>gleichverteilt geordnet</v>
      </c>
      <c r="C73" s="11" t="str">
        <f>'FALL 3'!C73</f>
        <v>ZZ</v>
      </c>
      <c r="D73" s="11" t="str">
        <f>'FALL 1'!D73</f>
        <v>ZufallsPROZENTE bez. auf Entnahmebereich</v>
      </c>
      <c r="F73" s="11" t="str">
        <f>'FALL 1'!F73</f>
        <v>xZufall Grafik</v>
      </c>
      <c r="G73" s="9" t="str">
        <f>'FALL 1'!G73</f>
        <v>Zzi Grafik</v>
      </c>
      <c r="I73" s="52" t="s">
        <v>79</v>
      </c>
      <c r="J73" s="52"/>
      <c r="K73" s="52"/>
      <c r="L73" s="52"/>
      <c r="M73" s="52"/>
      <c r="N73" s="52"/>
      <c r="O73" s="52"/>
      <c r="P73" s="52"/>
      <c r="Q73" s="52"/>
      <c r="R73" s="52"/>
      <c r="S73" s="52"/>
      <c r="T73" s="52"/>
      <c r="U73" s="52"/>
      <c r="V73" s="52"/>
    </row>
    <row r="74" spans="1:22" x14ac:dyDescent="0.3">
      <c r="A74" s="11">
        <f ca="1">'FALL 3'!A74</f>
        <v>28.040272016733912</v>
      </c>
      <c r="B74" s="11">
        <f ca="1">'FALL 3'!B74</f>
        <v>2.3210931377733552</v>
      </c>
      <c r="C74" s="11">
        <f>'FALL 3'!C74</f>
        <v>1</v>
      </c>
      <c r="D74" s="11">
        <f ca="1">IF(C74=0,"",(B74*0.01*(L37-L38)+L38))</f>
        <v>3.2746711335386043</v>
      </c>
      <c r="E74" s="11"/>
      <c r="F74" s="11">
        <f ca="1">IF(D74="","",(LN(((LN((D74/(100-D74))))-B50)/B51))*D22)</f>
        <v>10.903480639727801</v>
      </c>
      <c r="G74" s="11">
        <f t="shared" ref="G74:G137" ca="1" si="16">D74</f>
        <v>3.2746711335386043</v>
      </c>
      <c r="H74" s="50" t="str">
        <f ca="1">IF(I176=C74,I74,"")</f>
        <v/>
      </c>
      <c r="I74" s="11">
        <f t="shared" ref="I74:I137" ca="1" si="17">IF(F74="","",ROUND(F74,1))</f>
        <v>10.9</v>
      </c>
      <c r="K74" s="11"/>
      <c r="M74" s="11"/>
      <c r="N74" s="11"/>
      <c r="O74" s="11"/>
      <c r="P74" s="11"/>
      <c r="Q74" s="11"/>
      <c r="R74" s="11"/>
      <c r="S74" s="11"/>
      <c r="T74" s="11"/>
      <c r="U74" s="52"/>
      <c r="V74" s="52"/>
    </row>
    <row r="75" spans="1:22" x14ac:dyDescent="0.3">
      <c r="A75" s="11">
        <f ca="1">'FALL 3'!A75</f>
        <v>14.49379961208353</v>
      </c>
      <c r="B75" s="11">
        <f ca="1">'FALL 3'!B75</f>
        <v>3.6181460197162254</v>
      </c>
      <c r="C75" s="11">
        <f>'FALL 3'!C75</f>
        <v>2</v>
      </c>
      <c r="D75" s="11">
        <f ca="1">IF(C75=0,"",(B75*0.01*(L37-L38)+L38))</f>
        <v>4.5457829616914074</v>
      </c>
      <c r="E75" s="11"/>
      <c r="F75" s="11">
        <f ca="1">IF(D75="","",(LN(((LN((D75/(100-D75))))-B50)/B51))*D22)</f>
        <v>13.375978817451351</v>
      </c>
      <c r="G75" s="11">
        <f t="shared" ca="1" si="16"/>
        <v>4.5457829616914074</v>
      </c>
      <c r="H75" s="50" t="str">
        <f ca="1">IF(I176=C75,I75,"")</f>
        <v/>
      </c>
      <c r="I75" s="52">
        <f t="shared" ca="1" si="17"/>
        <v>13.4</v>
      </c>
      <c r="J75" s="52"/>
      <c r="K75" s="52"/>
      <c r="L75" s="52"/>
      <c r="M75" s="52"/>
      <c r="N75" s="52"/>
      <c r="O75" s="52"/>
      <c r="P75" s="52"/>
      <c r="Q75" s="52"/>
      <c r="R75" s="52"/>
      <c r="S75" s="52"/>
      <c r="T75" s="52"/>
      <c r="U75" s="52"/>
      <c r="V75" s="52"/>
    </row>
    <row r="76" spans="1:22" x14ac:dyDescent="0.3">
      <c r="A76" s="11">
        <f ca="1">'FALL 3'!A76</f>
        <v>30.928527190486321</v>
      </c>
      <c r="B76" s="11">
        <f ca="1">'FALL 3'!B76</f>
        <v>3.6249997631134772</v>
      </c>
      <c r="C76" s="11">
        <f>'FALL 3'!C76</f>
        <v>3</v>
      </c>
      <c r="D76" s="11">
        <f ca="1">IF(C76=0,"",(B76*0.01*(L37-L38)+L38))</f>
        <v>4.5524996302410514</v>
      </c>
      <c r="E76" s="11"/>
      <c r="F76" s="11">
        <f ca="1">IF(D76="","",(LN(((LN((D76/(100-D76))))-B50)/B51))*D22)</f>
        <v>13.386913756924548</v>
      </c>
      <c r="G76" s="11">
        <f t="shared" ca="1" si="16"/>
        <v>4.5524996302410514</v>
      </c>
      <c r="H76" s="50" t="str">
        <f ca="1">IF(I176=C76,I76,"")</f>
        <v/>
      </c>
      <c r="I76" s="52">
        <f t="shared" ca="1" si="17"/>
        <v>13.4</v>
      </c>
      <c r="J76" s="52"/>
      <c r="K76" s="52"/>
      <c r="L76" s="52"/>
      <c r="M76" s="52"/>
      <c r="N76" s="52"/>
      <c r="O76" s="52"/>
      <c r="P76" s="52"/>
      <c r="Q76" s="52"/>
      <c r="R76" s="52"/>
      <c r="S76" s="52"/>
      <c r="T76" s="52"/>
      <c r="U76" s="52"/>
      <c r="V76" s="52"/>
    </row>
    <row r="77" spans="1:22" x14ac:dyDescent="0.3">
      <c r="A77" s="11">
        <f ca="1">'FALL 3'!A77</f>
        <v>75.576022612968487</v>
      </c>
      <c r="B77" s="11">
        <f ca="1">'FALL 3'!B77</f>
        <v>4.3786339455653129</v>
      </c>
      <c r="C77" s="11">
        <f>'FALL 3'!C77</f>
        <v>4</v>
      </c>
      <c r="D77" s="11">
        <f ca="1">IF(C77=0,"",(B77*0.01*(L37-L38)+L38))</f>
        <v>5.2910611312801352</v>
      </c>
      <c r="E77" s="11"/>
      <c r="F77" s="11">
        <f ca="1">IF(D77="","",(LN(((LN((D77/(100-D77))))-B50)/B51))*D22)</f>
        <v>14.492201608011673</v>
      </c>
      <c r="G77" s="11">
        <f t="shared" ca="1" si="16"/>
        <v>5.2910611312801352</v>
      </c>
      <c r="H77" s="50" t="str">
        <f ca="1">IF(I176=C77,I77,"")</f>
        <v/>
      </c>
      <c r="I77" s="52">
        <f t="shared" ca="1" si="17"/>
        <v>14.5</v>
      </c>
      <c r="J77" s="52"/>
      <c r="K77" s="52"/>
      <c r="L77" s="52"/>
      <c r="M77" s="52"/>
      <c r="N77" s="52"/>
      <c r="O77" s="52"/>
      <c r="P77" s="52"/>
      <c r="Q77" s="52"/>
      <c r="R77" s="52"/>
      <c r="S77" s="52"/>
      <c r="T77" s="52"/>
      <c r="U77" s="52"/>
      <c r="V77" s="52"/>
    </row>
    <row r="78" spans="1:22" x14ac:dyDescent="0.3">
      <c r="A78" s="11">
        <f ca="1">'FALL 3'!A78</f>
        <v>7.7325278885367439</v>
      </c>
      <c r="B78" s="11">
        <f ca="1">'FALL 3'!B78</f>
        <v>5.7089520016855859</v>
      </c>
      <c r="C78" s="11">
        <f>'FALL 3'!C78</f>
        <v>5</v>
      </c>
      <c r="D78" s="11">
        <f ca="1">IF(C78=0,"",(B78*0.01*(L37-L38)+L38))</f>
        <v>6.5947728302255024</v>
      </c>
      <c r="E78" s="11"/>
      <c r="F78" s="11">
        <f ca="1">IF(D78="","",(LN(((LN((D78/(100-D78))))-B50)/B51))*D22)</f>
        <v>16.085234383105135</v>
      </c>
      <c r="G78" s="11">
        <f t="shared" ca="1" si="16"/>
        <v>6.5947728302255024</v>
      </c>
      <c r="H78" s="50" t="str">
        <f ca="1">IF(I176=C78,I78,"")</f>
        <v/>
      </c>
      <c r="I78" s="52">
        <f t="shared" ca="1" si="17"/>
        <v>16.100000000000001</v>
      </c>
      <c r="J78" s="52"/>
      <c r="K78" s="52"/>
      <c r="L78" s="52"/>
      <c r="M78" s="52"/>
      <c r="N78" s="52"/>
      <c r="O78" s="52"/>
      <c r="P78" s="52"/>
      <c r="Q78" s="52"/>
      <c r="R78" s="52"/>
      <c r="S78" s="52"/>
      <c r="T78" s="52"/>
      <c r="U78" s="52"/>
      <c r="V78" s="52"/>
    </row>
    <row r="79" spans="1:22" x14ac:dyDescent="0.3">
      <c r="A79" s="11">
        <f ca="1">'FALL 3'!A79</f>
        <v>66.060567090885314</v>
      </c>
      <c r="B79" s="11">
        <f ca="1">'FALL 3'!B79</f>
        <v>6.0767745995305233</v>
      </c>
      <c r="C79" s="11">
        <f>'FALL 3'!C79</f>
        <v>6</v>
      </c>
      <c r="D79" s="11">
        <f ca="1">IF(C79=0,"",(B79*0.01*(L37-L38)+L38))</f>
        <v>6.955238977204993</v>
      </c>
      <c r="E79" s="11"/>
      <c r="F79" s="11">
        <f ca="1">IF(D79="","",(LN(((LN((D79/(100-D79))))-B50)/B51))*D22)</f>
        <v>16.466080757568609</v>
      </c>
      <c r="G79" s="11">
        <f t="shared" ca="1" si="16"/>
        <v>6.955238977204993</v>
      </c>
      <c r="H79" s="50" t="str">
        <f ca="1">IF(I176=C79,I79,"")</f>
        <v/>
      </c>
      <c r="I79" s="52">
        <f t="shared" ca="1" si="17"/>
        <v>16.5</v>
      </c>
      <c r="J79" s="52"/>
      <c r="K79" s="52"/>
      <c r="L79" s="52"/>
      <c r="M79" s="52"/>
      <c r="N79" s="52"/>
      <c r="O79" s="52"/>
      <c r="P79" s="52"/>
      <c r="Q79" s="52"/>
      <c r="R79" s="52"/>
      <c r="S79" s="52"/>
      <c r="T79" s="52"/>
      <c r="U79" s="52"/>
      <c r="V79" s="52"/>
    </row>
    <row r="80" spans="1:22" x14ac:dyDescent="0.3">
      <c r="A80" s="11">
        <f ca="1">'FALL 3'!A80</f>
        <v>22.402120716537858</v>
      </c>
      <c r="B80" s="11">
        <f ca="1">'FALL 3'!B80</f>
        <v>7.1222617714573033</v>
      </c>
      <c r="C80" s="11">
        <f>'FALL 3'!C80</f>
        <v>7</v>
      </c>
      <c r="D80" s="11">
        <f ca="1">IF(C80=0,"",(B80*0.01*(L37-L38)+L38))</f>
        <v>7.979816408795549</v>
      </c>
      <c r="E80" s="11"/>
      <c r="F80" s="11">
        <f ca="1">IF(D80="","",(LN(((LN((D80/(100-D80))))-B50)/B51))*D22)</f>
        <v>17.443393126506557</v>
      </c>
      <c r="G80" s="11">
        <f t="shared" ca="1" si="16"/>
        <v>7.979816408795549</v>
      </c>
      <c r="H80" s="50" t="str">
        <f ca="1">IF(I176=C80,I80,"")</f>
        <v/>
      </c>
      <c r="I80" s="52">
        <f t="shared" ca="1" si="17"/>
        <v>17.399999999999999</v>
      </c>
      <c r="J80" s="52"/>
      <c r="K80" s="52"/>
      <c r="L80" s="52"/>
      <c r="M80" s="52"/>
      <c r="N80" s="52"/>
      <c r="O80" s="52"/>
      <c r="P80" s="52"/>
      <c r="Q80" s="52"/>
      <c r="R80" s="52"/>
      <c r="S80" s="52"/>
      <c r="T80" s="52"/>
      <c r="U80" s="52"/>
      <c r="V80" s="52"/>
    </row>
    <row r="81" spans="1:22" x14ac:dyDescent="0.3">
      <c r="A81" s="11">
        <f ca="1">'FALL 3'!A81</f>
        <v>42.764662812604882</v>
      </c>
      <c r="B81" s="11">
        <f ca="1">'FALL 3'!B81</f>
        <v>7.236393778707586</v>
      </c>
      <c r="C81" s="11">
        <f>'FALL 3'!C81</f>
        <v>8</v>
      </c>
      <c r="D81" s="11">
        <f ca="1">IF(C81=0,"",(B81*0.01*(L37-L38)+L38))</f>
        <v>8.091665776239493</v>
      </c>
      <c r="E81" s="11"/>
      <c r="F81" s="11">
        <f ca="1">IF(D81="","",(LN(((LN((D81/(100-D81))))-B50)/B51))*D22)</f>
        <v>17.541943197544938</v>
      </c>
      <c r="G81" s="11">
        <f t="shared" ca="1" si="16"/>
        <v>8.091665776239493</v>
      </c>
      <c r="H81" s="50" t="str">
        <f ca="1">IF(I176=C81,I81,"")</f>
        <v/>
      </c>
      <c r="I81" s="52">
        <f t="shared" ca="1" si="17"/>
        <v>17.5</v>
      </c>
      <c r="J81" s="52"/>
      <c r="K81" s="52"/>
      <c r="L81" s="52"/>
      <c r="M81" s="52"/>
      <c r="N81" s="52"/>
      <c r="O81" s="52"/>
      <c r="P81" s="52"/>
      <c r="Q81" s="52"/>
      <c r="R81" s="52"/>
      <c r="S81" s="52"/>
      <c r="T81" s="52"/>
      <c r="U81" s="52"/>
      <c r="V81" s="52"/>
    </row>
    <row r="82" spans="1:22" x14ac:dyDescent="0.3">
      <c r="A82" s="11">
        <f ca="1">'FALL 3'!A82</f>
        <v>33.68582618215472</v>
      </c>
      <c r="B82" s="11">
        <f ca="1">'FALL 3'!B82</f>
        <v>7.7325278885367439</v>
      </c>
      <c r="C82" s="11">
        <f>'FALL 3'!C82</f>
        <v>9</v>
      </c>
      <c r="D82" s="11">
        <f ca="1">IF(C82=0,"",(B82*0.01*(L37-L38)+L38))</f>
        <v>8.5778772053442633</v>
      </c>
      <c r="E82" s="11"/>
      <c r="F82" s="11">
        <f ca="1">IF(D82="","",(LN(((LN((D82/(100-D82))))-B50)/B51))*D22)</f>
        <v>17.95430819423483</v>
      </c>
      <c r="G82" s="11">
        <f t="shared" ca="1" si="16"/>
        <v>8.5778772053442633</v>
      </c>
      <c r="H82" s="50" t="str">
        <f ca="1">IF(I176=C82,I82,"")</f>
        <v/>
      </c>
      <c r="I82" s="52">
        <f t="shared" ca="1" si="17"/>
        <v>18</v>
      </c>
      <c r="J82" s="52"/>
      <c r="K82" s="52"/>
      <c r="L82" s="52"/>
      <c r="M82" s="52"/>
      <c r="N82" s="52"/>
      <c r="O82" s="52"/>
      <c r="P82" s="52"/>
      <c r="Q82" s="52"/>
      <c r="R82" s="52"/>
      <c r="S82" s="52"/>
      <c r="T82" s="52"/>
      <c r="U82" s="52"/>
      <c r="V82" s="52"/>
    </row>
    <row r="83" spans="1:22" x14ac:dyDescent="0.3">
      <c r="A83" s="11">
        <f ca="1">'FALL 3'!A83</f>
        <v>61.62027419648895</v>
      </c>
      <c r="B83" s="11">
        <f ca="1">'FALL 3'!B83</f>
        <v>8.6086870533608284</v>
      </c>
      <c r="C83" s="11">
        <f>'FALL 3'!C83</f>
        <v>10</v>
      </c>
      <c r="D83" s="11">
        <f ca="1">IF(C83=0,"",(B83*0.01*(L37-L38)+L38))</f>
        <v>9.4365131894717251</v>
      </c>
      <c r="E83" s="11"/>
      <c r="F83" s="11">
        <f ca="1">IF(D83="","",(LN(((LN((D83/(100-D83))))-B50)/B51))*D22)</f>
        <v>18.626113942718987</v>
      </c>
      <c r="G83" s="11">
        <f t="shared" ca="1" si="16"/>
        <v>9.4365131894717251</v>
      </c>
      <c r="H83" s="50" t="str">
        <f ca="1">IF(I176=C83,I83,"")</f>
        <v/>
      </c>
      <c r="I83" s="52">
        <f t="shared" ca="1" si="17"/>
        <v>18.600000000000001</v>
      </c>
      <c r="J83" s="52"/>
      <c r="K83" s="52"/>
      <c r="L83" s="52"/>
      <c r="M83" s="52"/>
      <c r="N83" s="52"/>
      <c r="O83" s="52"/>
      <c r="P83" s="52"/>
      <c r="Q83" s="52"/>
      <c r="R83" s="52"/>
      <c r="S83" s="52"/>
      <c r="T83" s="52"/>
      <c r="U83" s="52"/>
      <c r="V83" s="52"/>
    </row>
    <row r="84" spans="1:22" x14ac:dyDescent="0.3">
      <c r="A84" s="11">
        <f ca="1">'FALL 3'!A84</f>
        <v>7.1222617714573033</v>
      </c>
      <c r="B84" s="11">
        <f ca="1">'FALL 3'!B84</f>
        <v>9.2836085325027931</v>
      </c>
      <c r="C84" s="11">
        <f>'FALL 3'!C84</f>
        <v>11</v>
      </c>
      <c r="D84" s="11">
        <f ca="1">IF(C84=0,"",(B84*0.01*(L37-L38)+L38))</f>
        <v>10.097936241033569</v>
      </c>
      <c r="E84" s="11"/>
      <c r="F84" s="11">
        <f ca="1">IF(D84="","",(LN(((LN((D84/(100-D84))))-B50)/B51))*D22)</f>
        <v>19.101716035415027</v>
      </c>
      <c r="G84" s="11">
        <f t="shared" ca="1" si="16"/>
        <v>10.097936241033569</v>
      </c>
      <c r="H84" s="50" t="str">
        <f ca="1">IF(I176=C84,I84,"")</f>
        <v/>
      </c>
      <c r="I84" s="52">
        <f t="shared" ca="1" si="17"/>
        <v>19.100000000000001</v>
      </c>
      <c r="J84" s="52"/>
      <c r="K84" s="52"/>
      <c r="L84" s="52"/>
      <c r="M84" s="52"/>
      <c r="N84" s="52"/>
      <c r="O84" s="52"/>
      <c r="P84" s="52"/>
      <c r="Q84" s="52"/>
      <c r="R84" s="52"/>
      <c r="S84" s="52"/>
      <c r="T84" s="52"/>
      <c r="U84" s="52"/>
      <c r="V84" s="52"/>
    </row>
    <row r="85" spans="1:22" x14ac:dyDescent="0.3">
      <c r="A85" s="11">
        <f ca="1">'FALL 3'!A85</f>
        <v>21.722597038799464</v>
      </c>
      <c r="B85" s="11">
        <f ca="1">'FALL 3'!B85</f>
        <v>10.53043649250084</v>
      </c>
      <c r="C85" s="11">
        <f>'FALL 3'!C85</f>
        <v>12</v>
      </c>
      <c r="D85" s="11">
        <f ca="1">IF(C85=0,"",(B85*0.01*(L37-L38)+L38))</f>
        <v>11.31982764553141</v>
      </c>
      <c r="E85" s="11"/>
      <c r="F85" s="11">
        <f ca="1">IF(D85="","",(LN(((LN((D85/(100-D85))))-B50)/B51))*D22)</f>
        <v>19.901751355923274</v>
      </c>
      <c r="G85" s="11">
        <f t="shared" ca="1" si="16"/>
        <v>11.31982764553141</v>
      </c>
      <c r="H85" s="50" t="str">
        <f ca="1">IF(I176=C85,I85,"")</f>
        <v/>
      </c>
      <c r="I85" s="52">
        <f t="shared" ca="1" si="17"/>
        <v>19.899999999999999</v>
      </c>
      <c r="J85" s="52"/>
      <c r="K85" s="52"/>
      <c r="L85" s="52"/>
      <c r="M85" s="52"/>
      <c r="N85" s="52"/>
      <c r="O85" s="52"/>
      <c r="P85" s="52"/>
      <c r="Q85" s="52"/>
      <c r="R85" s="52"/>
      <c r="S85" s="52"/>
      <c r="T85" s="52"/>
      <c r="U85" s="52"/>
      <c r="V85" s="52"/>
    </row>
    <row r="86" spans="1:22" x14ac:dyDescent="0.3">
      <c r="A86" s="11">
        <f ca="1">'FALL 3'!A86</f>
        <v>66.829826929516031</v>
      </c>
      <c r="B86" s="11">
        <f ca="1">'FALL 3'!B86</f>
        <v>10.885530224479504</v>
      </c>
      <c r="C86" s="11">
        <f>'FALL 3'!C86</f>
        <v>13</v>
      </c>
      <c r="D86" s="11">
        <f ca="1">IF(C86=0,"",(B86*0.01*(L37-L38)+L38))</f>
        <v>11.667819503924184</v>
      </c>
      <c r="E86" s="11"/>
      <c r="F86" s="11">
        <f ca="1">IF(D86="","",(LN(((LN((D86/(100-D86))))-B50)/B51))*D22)</f>
        <v>20.113576321898261</v>
      </c>
      <c r="G86" s="11">
        <f t="shared" ca="1" si="16"/>
        <v>11.667819503924184</v>
      </c>
      <c r="H86" s="50" t="str">
        <f>IF(I1876=C86,I86,"")</f>
        <v/>
      </c>
      <c r="I86" s="52">
        <f t="shared" ca="1" si="17"/>
        <v>20.100000000000001</v>
      </c>
      <c r="J86" s="52"/>
      <c r="K86" s="52"/>
      <c r="L86" s="52"/>
      <c r="M86" s="52"/>
      <c r="N86" s="52"/>
      <c r="O86" s="52"/>
      <c r="P86" s="52"/>
      <c r="Q86" s="52"/>
      <c r="R86" s="52"/>
      <c r="S86" s="52"/>
      <c r="T86" s="52"/>
      <c r="U86" s="52"/>
      <c r="V86" s="52"/>
    </row>
    <row r="87" spans="1:22" x14ac:dyDescent="0.3">
      <c r="A87" s="11">
        <f ca="1">'FALL 3'!A87</f>
        <v>38.485894582626536</v>
      </c>
      <c r="B87" s="11">
        <f ca="1">'FALL 3'!B87</f>
        <v>10.913854291659938</v>
      </c>
      <c r="C87" s="11">
        <f>'FALL 3'!C87</f>
        <v>14</v>
      </c>
      <c r="D87" s="11">
        <f ca="1">IF(C87=0,"",(B87*0.01*(L37-L38)+L38))</f>
        <v>11.695577089845056</v>
      </c>
      <c r="E87" s="11"/>
      <c r="F87" s="11">
        <f ca="1">IF(D87="","",(LN(((LN((D87/(100-D87))))-B50)/B51))*D22)</f>
        <v>20.130197052602679</v>
      </c>
      <c r="G87" s="11">
        <f t="shared" ca="1" si="16"/>
        <v>11.695577089845056</v>
      </c>
      <c r="H87" s="50" t="str">
        <f ca="1">IF(I176=C87,I87,"")</f>
        <v/>
      </c>
      <c r="I87" s="52">
        <f t="shared" ca="1" si="17"/>
        <v>20.100000000000001</v>
      </c>
      <c r="J87" s="52"/>
      <c r="K87" s="52"/>
      <c r="L87" s="52"/>
      <c r="M87" s="52"/>
      <c r="N87" s="52"/>
      <c r="O87" s="52"/>
      <c r="P87" s="52"/>
      <c r="Q87" s="52"/>
      <c r="R87" s="52"/>
      <c r="S87" s="52"/>
      <c r="T87" s="52"/>
      <c r="U87" s="52"/>
      <c r="V87" s="52"/>
    </row>
    <row r="88" spans="1:22" x14ac:dyDescent="0.3">
      <c r="A88" s="11">
        <f ca="1">'FALL 3'!A88</f>
        <v>7.236393778707586</v>
      </c>
      <c r="B88" s="11">
        <f ca="1">'FALL 3'!B88</f>
        <v>14.49379961208353</v>
      </c>
      <c r="C88" s="11">
        <f>'FALL 3'!C88</f>
        <v>15</v>
      </c>
      <c r="D88" s="11">
        <f ca="1">IF(C88=0,"",(B88*0.01*(L37-L38)+L38))</f>
        <v>15.203923514483073</v>
      </c>
      <c r="E88" s="11"/>
      <c r="F88" s="11">
        <f ca="1">IF(D88="","",(LN(((LN((D88/(100-D88))))-B50)/B51))*D22)</f>
        <v>21.96685271719339</v>
      </c>
      <c r="G88" s="11">
        <f t="shared" ca="1" si="16"/>
        <v>15.203923514483073</v>
      </c>
      <c r="H88" s="50" t="str">
        <f ca="1">IF(I176=C88,I88,"")</f>
        <v/>
      </c>
      <c r="I88" s="52">
        <f t="shared" ca="1" si="17"/>
        <v>22</v>
      </c>
      <c r="J88" s="52"/>
      <c r="K88" s="52"/>
      <c r="L88" s="52"/>
      <c r="M88" s="52"/>
      <c r="N88" s="52"/>
      <c r="O88" s="52"/>
      <c r="P88" s="52"/>
      <c r="Q88" s="52"/>
      <c r="R88" s="52"/>
      <c r="S88" s="52"/>
      <c r="T88" s="52"/>
      <c r="U88" s="52"/>
      <c r="V88" s="52"/>
    </row>
    <row r="89" spans="1:22" x14ac:dyDescent="0.3">
      <c r="A89" s="11">
        <f ca="1">'FALL 3'!A89</f>
        <v>46.064691747729199</v>
      </c>
      <c r="B89" s="11">
        <f ca="1">'FALL 3'!B89</f>
        <v>14.787882301540993</v>
      </c>
      <c r="C89" s="11">
        <f>'FALL 3'!C89</f>
        <v>16</v>
      </c>
      <c r="D89" s="11">
        <f ca="1">IF(C89=0,"",(B89*0.01*(L37-L38)+L38))</f>
        <v>15.492124551024029</v>
      </c>
      <c r="E89" s="11"/>
      <c r="F89" s="11">
        <f ca="1">IF(D89="","",(LN(((LN((D89/(100-D89))))-B50)/B51))*D22)</f>
        <v>22.098752366612018</v>
      </c>
      <c r="G89" s="11">
        <f t="shared" ca="1" si="16"/>
        <v>15.492124551024029</v>
      </c>
      <c r="H89" s="50" t="str">
        <f ca="1">IF(I176=C89,I89,"")</f>
        <v/>
      </c>
      <c r="I89" s="52">
        <f t="shared" ca="1" si="17"/>
        <v>22.1</v>
      </c>
      <c r="J89" s="52"/>
      <c r="K89" s="52"/>
      <c r="L89" s="52"/>
      <c r="M89" s="52"/>
      <c r="N89" s="52"/>
      <c r="O89" s="52"/>
      <c r="P89" s="52"/>
      <c r="Q89" s="52"/>
      <c r="R89" s="52"/>
      <c r="S89" s="52"/>
      <c r="T89" s="52"/>
      <c r="U89" s="52"/>
      <c r="V89" s="52"/>
    </row>
    <row r="90" spans="1:22" x14ac:dyDescent="0.3">
      <c r="A90" s="11">
        <f ca="1">'FALL 3'!A90</f>
        <v>21.832727086753366</v>
      </c>
      <c r="B90" s="11">
        <f ca="1">'FALL 3'!B90</f>
        <v>15.018448098362695</v>
      </c>
      <c r="C90" s="11">
        <f>'FALL 3'!C90</f>
        <v>17</v>
      </c>
      <c r="D90" s="11">
        <f ca="1">IF(C90=0,"",(B90*0.01*(L37-L38)+L38))</f>
        <v>15.718079032593463</v>
      </c>
      <c r="E90" s="11"/>
      <c r="F90" s="11">
        <f ca="1">IF(D90="","",(LN(((LN((D90/(100-D90))))-B50)/B51))*D22)</f>
        <v>22.20053099860219</v>
      </c>
      <c r="G90" s="11">
        <f t="shared" ca="1" si="16"/>
        <v>15.718079032593463</v>
      </c>
      <c r="H90" s="50" t="str">
        <f ca="1">IF(I176=C90,I90,"")</f>
        <v/>
      </c>
      <c r="I90" s="52">
        <f t="shared" ca="1" si="17"/>
        <v>22.2</v>
      </c>
      <c r="J90" s="52"/>
      <c r="K90" s="52"/>
      <c r="L90" s="52"/>
      <c r="M90" s="52"/>
      <c r="N90" s="52"/>
      <c r="O90" s="52"/>
      <c r="P90" s="52"/>
      <c r="Q90" s="52"/>
      <c r="R90" s="52"/>
      <c r="S90" s="52"/>
      <c r="T90" s="52"/>
      <c r="U90" s="52"/>
      <c r="V90" s="52"/>
    </row>
    <row r="91" spans="1:22" x14ac:dyDescent="0.3">
      <c r="A91" s="11">
        <f ca="1">'FALL 3'!A91</f>
        <v>40.248097189293503</v>
      </c>
      <c r="B91" s="11">
        <f ca="1">'FALL 3'!B91</f>
        <v>18.068569221852552</v>
      </c>
      <c r="C91" s="11">
        <f>'FALL 3'!C91</f>
        <v>18</v>
      </c>
      <c r="D91" s="11">
        <f ca="1">IF(C91=0,"",(B91*0.01*(L37-L38)+L38))</f>
        <v>18.707197742664253</v>
      </c>
      <c r="E91" s="11"/>
      <c r="F91" s="11">
        <f ca="1">IF(D91="","",(LN(((LN((D91/(100-D91))))-B50)/B51))*D22)</f>
        <v>23.430975015813154</v>
      </c>
      <c r="G91" s="11">
        <f t="shared" ca="1" si="16"/>
        <v>18.707197742664253</v>
      </c>
      <c r="H91" s="50" t="str">
        <f>IF(I1976=C91,I91,"")</f>
        <v/>
      </c>
      <c r="I91" s="52">
        <f t="shared" ca="1" si="17"/>
        <v>23.4</v>
      </c>
      <c r="J91" s="52"/>
      <c r="K91" s="52"/>
      <c r="L91" s="52"/>
      <c r="M91" s="52"/>
      <c r="N91" s="52"/>
      <c r="O91" s="52"/>
      <c r="P91" s="52"/>
      <c r="Q91" s="52"/>
      <c r="R91" s="52"/>
      <c r="S91" s="52"/>
      <c r="T91" s="52"/>
      <c r="U91" s="52"/>
      <c r="V91" s="52"/>
    </row>
    <row r="92" spans="1:22" x14ac:dyDescent="0.3">
      <c r="A92" s="11">
        <f ca="1">'FALL 3'!A92</f>
        <v>22.798403487660405</v>
      </c>
      <c r="B92" s="11">
        <f ca="1">'FALL 3'!B92</f>
        <v>18.096694046407926</v>
      </c>
      <c r="C92" s="11">
        <f>'FALL 3'!C92</f>
        <v>19</v>
      </c>
      <c r="D92" s="11">
        <f ca="1">IF(C92=0,"",(B92*0.01*(L37-L38)+L38))</f>
        <v>18.734760070811976</v>
      </c>
      <c r="E92" s="11"/>
      <c r="F92" s="11">
        <f ca="1">IF(D92="","",(LN(((LN((D92/(100-D92))))-B50)/B51))*D22)</f>
        <v>23.441447411023162</v>
      </c>
      <c r="G92" s="11">
        <f t="shared" ca="1" si="16"/>
        <v>18.734760070811976</v>
      </c>
      <c r="H92" s="50" t="str">
        <f ca="1">IF(I176=C92,I92,"")</f>
        <v/>
      </c>
      <c r="I92" s="52">
        <f t="shared" ca="1" si="17"/>
        <v>23.4</v>
      </c>
      <c r="J92" s="52"/>
      <c r="K92" s="52"/>
      <c r="L92" s="52"/>
      <c r="M92" s="52"/>
      <c r="N92" s="52"/>
      <c r="O92" s="52"/>
      <c r="P92" s="52"/>
      <c r="Q92" s="52"/>
      <c r="R92" s="52"/>
      <c r="S92" s="52"/>
      <c r="T92" s="52"/>
      <c r="U92" s="52"/>
      <c r="V92" s="52"/>
    </row>
    <row r="93" spans="1:22" x14ac:dyDescent="0.3">
      <c r="A93" s="11">
        <f ca="1">'FALL 3'!A93</f>
        <v>49.691148443190642</v>
      </c>
      <c r="B93" s="11">
        <f ca="1">'FALL 3'!B93</f>
        <v>19.165157236496931</v>
      </c>
      <c r="C93" s="11">
        <f>'FALL 3'!C93</f>
        <v>20</v>
      </c>
      <c r="D93" s="11">
        <f ca="1">IF(C93=0,"",(B93*0.01*(L37-L38)+L38))</f>
        <v>19.781854000269689</v>
      </c>
      <c r="E93" s="11"/>
      <c r="F93" s="11">
        <f ca="1">IF(D93="","",(LN(((LN((D93/(100-D93))))-B50)/B51))*D22)</f>
        <v>23.829297030752802</v>
      </c>
      <c r="G93" s="11">
        <f t="shared" ca="1" si="16"/>
        <v>19.781854000269689</v>
      </c>
      <c r="H93" s="50" t="str">
        <f ca="1">IF(I176=C93,I93,"")</f>
        <v/>
      </c>
      <c r="I93" s="52">
        <f t="shared" ca="1" si="17"/>
        <v>23.8</v>
      </c>
      <c r="J93" s="52"/>
      <c r="K93" s="52"/>
      <c r="L93" s="52"/>
      <c r="M93" s="52"/>
      <c r="N93" s="52"/>
      <c r="O93" s="52"/>
      <c r="P93" s="52"/>
      <c r="Q93" s="52"/>
      <c r="R93" s="52"/>
      <c r="S93" s="52"/>
      <c r="T93" s="52"/>
      <c r="U93" s="52"/>
      <c r="V93" s="52"/>
    </row>
    <row r="94" spans="1:22" x14ac:dyDescent="0.3">
      <c r="A94" s="11">
        <f ca="1">'FALL 3'!A94</f>
        <v>54.990009558994942</v>
      </c>
      <c r="B94" s="11">
        <f ca="1">'FALL 3'!B94</f>
        <v>19.716125294376258</v>
      </c>
      <c r="C94" s="11">
        <f>'FALL 3'!C94</f>
        <v>21</v>
      </c>
      <c r="D94" s="11">
        <f ca="1">IF(C94=0,"",(B94*0.01*(L37-L38)+L38))</f>
        <v>20.321802698626335</v>
      </c>
      <c r="E94" s="11"/>
      <c r="F94" s="11">
        <f ca="1">IF(D94="","",(LN(((LN((D94/(100-D94))))-B50)/B51))*D22)</f>
        <v>24.02213667202145</v>
      </c>
      <c r="G94" s="11">
        <f t="shared" ca="1" si="16"/>
        <v>20.321802698626335</v>
      </c>
      <c r="H94" s="50" t="str">
        <f ca="1">IF(I176=C94,I94,"")</f>
        <v/>
      </c>
      <c r="I94" s="52">
        <f t="shared" ca="1" si="17"/>
        <v>24</v>
      </c>
      <c r="J94" s="52"/>
      <c r="K94" s="52"/>
      <c r="L94" s="52"/>
      <c r="M94" s="52"/>
      <c r="N94" s="52"/>
      <c r="O94" s="52"/>
      <c r="P94" s="52"/>
      <c r="Q94" s="52"/>
      <c r="R94" s="52"/>
      <c r="S94" s="52"/>
      <c r="T94" s="52"/>
      <c r="U94" s="52"/>
      <c r="V94" s="52"/>
    </row>
    <row r="95" spans="1:22" x14ac:dyDescent="0.3">
      <c r="A95" s="11">
        <f ca="1">'FALL 3'!A95</f>
        <v>42.527251835919955</v>
      </c>
      <c r="B95" s="11">
        <f ca="1">'FALL 3'!B95</f>
        <v>20.069201538126915</v>
      </c>
      <c r="C95" s="11">
        <f>'FALL 3'!C95</f>
        <v>22</v>
      </c>
      <c r="D95" s="11">
        <f ca="1">IF(C95=0,"",(B95*0.01*(L37-L38)+L38))</f>
        <v>20.667817418549674</v>
      </c>
      <c r="E95" s="11"/>
      <c r="F95" s="11">
        <f ca="1">IF(D95="","",(LN(((LN((D95/(100-D95))))-B50)/B51))*D22)</f>
        <v>24.143331722876287</v>
      </c>
      <c r="G95" s="11">
        <f t="shared" ca="1" si="16"/>
        <v>20.667817418549674</v>
      </c>
      <c r="H95" s="50" t="str">
        <f ca="1">IF(I176=C95,I95,"")</f>
        <v/>
      </c>
      <c r="I95" s="52">
        <f t="shared" ca="1" si="17"/>
        <v>24.1</v>
      </c>
      <c r="J95" s="52"/>
      <c r="K95" s="52"/>
      <c r="L95" s="52"/>
      <c r="M95" s="52"/>
      <c r="N95" s="52"/>
      <c r="O95" s="52"/>
      <c r="P95" s="52"/>
      <c r="Q95" s="52"/>
      <c r="R95" s="52"/>
      <c r="S95" s="52"/>
      <c r="T95" s="52"/>
      <c r="U95" s="52"/>
      <c r="V95" s="52"/>
    </row>
    <row r="96" spans="1:22" x14ac:dyDescent="0.3">
      <c r="A96" s="11">
        <f ca="1">'FALL 3'!A96</f>
        <v>29.016184708225413</v>
      </c>
      <c r="B96" s="11">
        <f ca="1">'FALL 3'!B96</f>
        <v>20.477118628301223</v>
      </c>
      <c r="C96" s="11">
        <f>'FALL 3'!C96</f>
        <v>23</v>
      </c>
      <c r="D96" s="11">
        <f ca="1">IF(C96=0,"",(B96*0.01*(L37-L38)+L38))</f>
        <v>21.067576168130923</v>
      </c>
      <c r="E96" s="11"/>
      <c r="F96" s="11">
        <f ca="1">IF(D96="","",(LN(((LN((D96/(100-D96))))-B50)/B51))*D22)</f>
        <v>24.281140485108523</v>
      </c>
      <c r="G96" s="11">
        <f t="shared" ca="1" si="16"/>
        <v>21.067576168130923</v>
      </c>
      <c r="H96" s="50" t="str">
        <f>IF(I1976=C96,I96,"")</f>
        <v/>
      </c>
      <c r="I96" s="52">
        <f t="shared" ca="1" si="17"/>
        <v>24.3</v>
      </c>
      <c r="J96" s="52"/>
      <c r="K96" s="52"/>
      <c r="L96" s="52"/>
      <c r="M96" s="52"/>
      <c r="N96" s="52"/>
      <c r="O96" s="52"/>
      <c r="P96" s="52"/>
      <c r="Q96" s="52"/>
      <c r="R96" s="52"/>
      <c r="S96" s="52"/>
      <c r="T96" s="52"/>
      <c r="U96" s="52"/>
      <c r="V96" s="52"/>
    </row>
    <row r="97" spans="1:22" x14ac:dyDescent="0.3">
      <c r="A97" s="11">
        <f ca="1">'FALL 3'!A97</f>
        <v>75.433313687716009</v>
      </c>
      <c r="B97" s="11">
        <f ca="1">'FALL 3'!B97</f>
        <v>21.722597038799464</v>
      </c>
      <c r="C97" s="11">
        <f>'FALL 3'!C97</f>
        <v>24</v>
      </c>
      <c r="D97" s="11">
        <f ca="1">IF(C97=0,"",(B97*0.01*(L37-L38)+L38))</f>
        <v>22.288145014114949</v>
      </c>
      <c r="E97" s="11"/>
      <c r="F97" s="11">
        <f ca="1">IF(D97="","",(LN(((LN((D97/(100-D97))))-B50)/B51))*D22)</f>
        <v>24.688222675402415</v>
      </c>
      <c r="G97" s="11">
        <f t="shared" ca="1" si="16"/>
        <v>22.288145014114949</v>
      </c>
      <c r="H97" s="50" t="str">
        <f ca="1">IF(I176=C97,I97,"")</f>
        <v/>
      </c>
      <c r="I97" s="52">
        <f t="shared" ca="1" si="17"/>
        <v>24.7</v>
      </c>
      <c r="J97" s="52"/>
      <c r="K97" s="52"/>
      <c r="L97" s="52"/>
      <c r="M97" s="52"/>
      <c r="N97" s="52"/>
      <c r="O97" s="52"/>
      <c r="P97" s="52"/>
      <c r="Q97" s="52"/>
      <c r="R97" s="52"/>
      <c r="S97" s="52"/>
      <c r="T97" s="52"/>
      <c r="U97" s="52"/>
      <c r="V97" s="52"/>
    </row>
    <row r="98" spans="1:22" x14ac:dyDescent="0.3">
      <c r="A98" s="11">
        <f ca="1">'FALL 3'!A98</f>
        <v>29.972532191020719</v>
      </c>
      <c r="B98" s="11">
        <f ca="1">'FALL 3'!B98</f>
        <v>21.832727086753366</v>
      </c>
      <c r="C98" s="11">
        <f>'FALL 3'!C98</f>
        <v>25</v>
      </c>
      <c r="D98" s="11">
        <f ca="1">IF(C98=0,"",(B98*0.01*(L37-L38)+L38))</f>
        <v>22.396072461436567</v>
      </c>
      <c r="E98" s="11"/>
      <c r="F98" s="11">
        <f ca="1">IF(D98="","",(LN(((LN((D98/(100-D98))))-B50)/B51))*D22)</f>
        <v>24.723284360750021</v>
      </c>
      <c r="G98" s="11">
        <f t="shared" ca="1" si="16"/>
        <v>22.396072461436567</v>
      </c>
      <c r="H98" s="50" t="str">
        <f ca="1">IF(I176=C98,I98,"")</f>
        <v/>
      </c>
      <c r="I98" s="52">
        <f t="shared" ca="1" si="17"/>
        <v>24.7</v>
      </c>
      <c r="J98" s="52"/>
      <c r="K98" s="52"/>
      <c r="L98" s="52"/>
      <c r="M98" s="52"/>
      <c r="N98" s="52"/>
      <c r="O98" s="52"/>
      <c r="P98" s="52"/>
      <c r="Q98" s="52"/>
      <c r="R98" s="52"/>
      <c r="S98" s="52"/>
      <c r="T98" s="52"/>
      <c r="U98" s="52"/>
      <c r="V98" s="52"/>
    </row>
    <row r="99" spans="1:22" x14ac:dyDescent="0.3">
      <c r="A99" s="11">
        <f ca="1">'FALL 3'!A99</f>
        <v>98.808316937464056</v>
      </c>
      <c r="B99" s="11">
        <f ca="1">'FALL 3'!B99</f>
        <v>22.363985131911313</v>
      </c>
      <c r="C99" s="11">
        <f>'FALL 3'!C99</f>
        <v>26</v>
      </c>
      <c r="D99" s="11">
        <f ca="1">IF(C99=0,"",(B99*0.01*(L37-L38)+L38))</f>
        <v>22.916705347267776</v>
      </c>
      <c r="E99" s="11"/>
      <c r="F99" s="11">
        <f ca="1">IF(D99="","",(LN(((LN((D99/(100-D99))))-B50)/B51))*D22)</f>
        <v>24.890417767249421</v>
      </c>
      <c r="G99" s="11">
        <f t="shared" ca="1" si="16"/>
        <v>22.916705347267776</v>
      </c>
      <c r="H99" s="50" t="str">
        <f ca="1">IF(I176=C99,I99,"")</f>
        <v/>
      </c>
      <c r="I99" s="52">
        <f t="shared" ca="1" si="17"/>
        <v>24.9</v>
      </c>
      <c r="J99" s="52"/>
      <c r="K99" s="52"/>
      <c r="L99" s="52"/>
      <c r="M99" s="52"/>
      <c r="N99" s="52"/>
      <c r="O99" s="52"/>
      <c r="P99" s="52"/>
      <c r="Q99" s="52"/>
      <c r="R99" s="52"/>
      <c r="S99" s="52"/>
      <c r="T99" s="52"/>
      <c r="U99" s="52"/>
      <c r="V99" s="52"/>
    </row>
    <row r="100" spans="1:22" x14ac:dyDescent="0.3">
      <c r="A100" s="11">
        <f ca="1">'FALL 3'!A100</f>
        <v>57.231159567227657</v>
      </c>
      <c r="B100" s="11">
        <f ca="1">'FALL 3'!B100</f>
        <v>22.402120716537858</v>
      </c>
      <c r="C100" s="11">
        <f>'FALL 3'!C100</f>
        <v>27</v>
      </c>
      <c r="D100" s="11">
        <f ca="1">IF(C100=0,"",(B100*0.01*(L37-L38)+L38))</f>
        <v>22.954078220314951</v>
      </c>
      <c r="E100" s="11"/>
      <c r="F100" s="11">
        <f ca="1">IF(D100="","",(LN(((LN((D100/(100-D100))))-B50)/B51))*D22)</f>
        <v>24.902290477289061</v>
      </c>
      <c r="G100" s="11">
        <f t="shared" ca="1" si="16"/>
        <v>22.954078220314951</v>
      </c>
      <c r="H100" s="50" t="str">
        <f ca="1">IF(I176=C100,I100,"")</f>
        <v/>
      </c>
      <c r="I100" s="52">
        <f t="shared" ca="1" si="17"/>
        <v>24.9</v>
      </c>
      <c r="J100" s="52"/>
      <c r="K100" s="52"/>
      <c r="L100" s="52"/>
      <c r="M100" s="52"/>
      <c r="N100" s="52"/>
      <c r="O100" s="52"/>
      <c r="P100" s="52"/>
      <c r="Q100" s="52"/>
      <c r="R100" s="52"/>
      <c r="S100" s="52"/>
      <c r="T100" s="52"/>
      <c r="U100" s="52"/>
      <c r="V100" s="52"/>
    </row>
    <row r="101" spans="1:22" x14ac:dyDescent="0.3">
      <c r="A101" s="11">
        <f ca="1">'FALL 3'!A101</f>
        <v>14.787882301540993</v>
      </c>
      <c r="B101" s="11">
        <f ca="1">'FALL 3'!B101</f>
        <v>22.66610817703523</v>
      </c>
      <c r="C101" s="11">
        <f>'FALL 3'!C101</f>
        <v>28</v>
      </c>
      <c r="D101" s="11">
        <f ca="1">IF(C101=0,"",(B101*0.01*(L37-L38)+L38))</f>
        <v>23.212785932385714</v>
      </c>
      <c r="E101" s="11"/>
      <c r="F101" s="11">
        <f ca="1">IF(D101="","",(LN(((LN((D101/(100-D101))))-B50)/B51))*D22)</f>
        <v>24.984031585041887</v>
      </c>
      <c r="G101" s="11">
        <f t="shared" ca="1" si="16"/>
        <v>23.212785932385714</v>
      </c>
      <c r="H101" s="50" t="str">
        <f ca="1">IF(I176=C101,I101,"")</f>
        <v/>
      </c>
      <c r="I101" s="52">
        <f t="shared" ca="1" si="17"/>
        <v>25</v>
      </c>
      <c r="J101" s="52"/>
      <c r="K101" s="52"/>
      <c r="L101" s="52"/>
      <c r="M101" s="52"/>
      <c r="N101" s="52"/>
      <c r="O101" s="52"/>
      <c r="P101" s="52"/>
      <c r="Q101" s="52"/>
      <c r="R101" s="52"/>
      <c r="S101" s="52"/>
      <c r="T101" s="52"/>
      <c r="U101" s="52"/>
      <c r="V101" s="52"/>
    </row>
    <row r="102" spans="1:22" x14ac:dyDescent="0.3">
      <c r="A102" s="11">
        <f ca="1">'FALL 3'!A102</f>
        <v>40.887985740747538</v>
      </c>
      <c r="B102" s="11">
        <f ca="1">'FALL 3'!B102</f>
        <v>22.798403487660405</v>
      </c>
      <c r="C102" s="11">
        <f>'FALL 3'!C102</f>
        <v>29</v>
      </c>
      <c r="D102" s="11">
        <f ca="1">IF(C102=0,"",(B102*0.01*(L37-L38)+L38))</f>
        <v>23.342435337190949</v>
      </c>
      <c r="E102" s="11"/>
      <c r="F102" s="11">
        <f ca="1">IF(D102="","",(LN(((LN((D102/(100-D102))))-B50)/B51))*D22)</f>
        <v>25.024706543188675</v>
      </c>
      <c r="G102" s="11">
        <f t="shared" ca="1" si="16"/>
        <v>23.342435337190949</v>
      </c>
      <c r="H102" s="50" t="str">
        <f ca="1">IF(I176=C102,I102,"")</f>
        <v/>
      </c>
      <c r="I102" s="52">
        <f t="shared" ca="1" si="17"/>
        <v>25</v>
      </c>
      <c r="J102" s="52"/>
      <c r="K102" s="52"/>
      <c r="L102" s="52"/>
      <c r="M102" s="52"/>
      <c r="N102" s="52"/>
      <c r="O102" s="52"/>
      <c r="P102" s="52"/>
      <c r="Q102" s="52"/>
      <c r="R102" s="52"/>
      <c r="S102" s="52"/>
      <c r="T102" s="52"/>
      <c r="U102" s="52"/>
      <c r="V102" s="52"/>
    </row>
    <row r="103" spans="1:22" x14ac:dyDescent="0.3">
      <c r="A103" s="11">
        <f ca="1">'FALL 3'!A103</f>
        <v>88.960234235886745</v>
      </c>
      <c r="B103" s="11">
        <f ca="1">'FALL 3'!B103</f>
        <v>22.988763705825928</v>
      </c>
      <c r="C103" s="11">
        <f>'FALL 3'!C103</f>
        <v>30</v>
      </c>
      <c r="D103" s="11">
        <f ca="1">IF(C103=0,"",(B103*0.01*(L37-L38)+L38))</f>
        <v>23.528988351558027</v>
      </c>
      <c r="E103" s="11"/>
      <c r="F103" s="11">
        <f ca="1">IF(D103="","",(LN(((LN((D103/(100-D103))))-B50)/B51))*D22)</f>
        <v>25.082901654030703</v>
      </c>
      <c r="G103" s="11">
        <f t="shared" ca="1" si="16"/>
        <v>23.528988351558027</v>
      </c>
      <c r="H103" s="50" t="str">
        <f ca="1">IF(I176=C103,I103,"")</f>
        <v/>
      </c>
      <c r="I103" s="52">
        <f t="shared" ca="1" si="17"/>
        <v>25.1</v>
      </c>
      <c r="J103" s="52"/>
      <c r="K103" s="52"/>
      <c r="L103" s="52"/>
      <c r="M103" s="52"/>
      <c r="N103" s="52"/>
      <c r="O103" s="52"/>
      <c r="P103" s="52"/>
      <c r="Q103" s="52"/>
      <c r="R103" s="52"/>
      <c r="S103" s="52"/>
      <c r="T103" s="52"/>
      <c r="U103" s="52"/>
      <c r="V103" s="52"/>
    </row>
    <row r="104" spans="1:22" x14ac:dyDescent="0.3">
      <c r="A104" s="11">
        <f ca="1">'FALL 3'!A104</f>
        <v>45.47883392341403</v>
      </c>
      <c r="B104" s="11">
        <f ca="1">'FALL 3'!B104</f>
        <v>24.222389089655788</v>
      </c>
      <c r="C104" s="11">
        <f>'FALL 3'!C104</f>
        <v>31</v>
      </c>
      <c r="D104" s="11">
        <f ca="1">IF(C104=0,"",(B104*0.01*(L37-L38)+L38))</f>
        <v>24.737941231371867</v>
      </c>
      <c r="E104" s="11"/>
      <c r="F104" s="11">
        <f ca="1">IF(D104="","",(LN(((LN((D104/(100-D104))))-B50)/B51))*D22)</f>
        <v>25.450984138566145</v>
      </c>
      <c r="G104" s="11">
        <f t="shared" ca="1" si="16"/>
        <v>24.737941231371867</v>
      </c>
      <c r="H104" s="50" t="str">
        <f ca="1">IF(I176=C104,I104,"")</f>
        <v/>
      </c>
      <c r="I104" s="52">
        <f t="shared" ca="1" si="17"/>
        <v>25.5</v>
      </c>
      <c r="J104" s="52"/>
      <c r="K104" s="52"/>
      <c r="L104" s="52"/>
      <c r="M104" s="52"/>
      <c r="N104" s="52"/>
      <c r="O104" s="52"/>
      <c r="P104" s="52"/>
      <c r="Q104" s="52"/>
      <c r="R104" s="52"/>
      <c r="S104" s="52"/>
      <c r="T104" s="52"/>
      <c r="U104" s="52"/>
      <c r="V104" s="52"/>
    </row>
    <row r="105" spans="1:22" x14ac:dyDescent="0.3">
      <c r="A105" s="11">
        <f ca="1">'FALL 3'!A105</f>
        <v>10.913854291659938</v>
      </c>
      <c r="B105" s="11">
        <f ca="1">'FALL 3'!B105</f>
        <v>26.935136806361843</v>
      </c>
      <c r="C105" s="11">
        <f>'FALL 3'!C105</f>
        <v>32</v>
      </c>
      <c r="D105" s="11">
        <f ca="1">IF(C105=0,"",(B105*0.01*(L37-L38)+L38))</f>
        <v>27.39643400179343</v>
      </c>
      <c r="E105" s="11"/>
      <c r="F105" s="11">
        <f ca="1">IF(D105="","",(LN(((LN((D105/(100-D105))))-B50)/B51))*D22)</f>
        <v>26.211702606877228</v>
      </c>
      <c r="G105" s="11">
        <f t="shared" ca="1" si="16"/>
        <v>27.39643400179343</v>
      </c>
      <c r="H105" s="50" t="str">
        <f>IF(I2176=C105,I105,"")</f>
        <v/>
      </c>
      <c r="I105" s="52">
        <f t="shared" ca="1" si="17"/>
        <v>26.2</v>
      </c>
      <c r="J105" s="52"/>
      <c r="K105" s="52"/>
      <c r="L105" s="52"/>
      <c r="M105" s="52"/>
      <c r="N105" s="52"/>
      <c r="O105" s="52"/>
      <c r="P105" s="52"/>
      <c r="Q105" s="52"/>
      <c r="R105" s="52"/>
      <c r="S105" s="52"/>
      <c r="T105" s="52"/>
      <c r="U105" s="52"/>
      <c r="V105" s="52"/>
    </row>
    <row r="106" spans="1:22" x14ac:dyDescent="0.3">
      <c r="A106" s="11">
        <f ca="1">'FALL 3'!A106</f>
        <v>18.068569221852552</v>
      </c>
      <c r="B106" s="11">
        <f ca="1">'FALL 3'!B106</f>
        <v>28.040272016733912</v>
      </c>
      <c r="C106" s="11">
        <f>'FALL 3'!C106</f>
        <v>33</v>
      </c>
      <c r="D106" s="11">
        <f ca="1">IF(C106=0,"",(B106*0.01*(L37-L38)+L38))</f>
        <v>28.479466511237369</v>
      </c>
      <c r="E106" s="11"/>
      <c r="F106" s="11">
        <f ca="1">IF(D106="","",(LN(((LN((D106/(100-D106))))-B50)/B51))*D22)</f>
        <v>26.505086669942195</v>
      </c>
      <c r="G106" s="11">
        <f t="shared" ca="1" si="16"/>
        <v>28.479466511237369</v>
      </c>
      <c r="H106" s="50" t="str">
        <f ca="1">IF(I176=C106,I106,"")</f>
        <v/>
      </c>
      <c r="I106" s="52">
        <f t="shared" ca="1" si="17"/>
        <v>26.5</v>
      </c>
      <c r="J106" s="52"/>
      <c r="K106" s="52"/>
      <c r="L106" s="52"/>
      <c r="M106" s="52"/>
      <c r="N106" s="52"/>
      <c r="O106" s="52"/>
      <c r="P106" s="52"/>
      <c r="Q106" s="52"/>
      <c r="R106" s="52"/>
      <c r="S106" s="52"/>
      <c r="T106" s="52"/>
      <c r="U106" s="52"/>
      <c r="V106" s="52"/>
    </row>
    <row r="107" spans="1:22" x14ac:dyDescent="0.3">
      <c r="A107" s="11">
        <f ca="1">'FALL 3'!A107</f>
        <v>58.464920340926298</v>
      </c>
      <c r="B107" s="11">
        <f ca="1">'FALL 3'!B107</f>
        <v>29.016184708225413</v>
      </c>
      <c r="C107" s="11">
        <f>'FALL 3'!C107</f>
        <v>34</v>
      </c>
      <c r="D107" s="11">
        <f ca="1">IF(C107=0,"",(B107*0.01*(L37-L38)+L38))</f>
        <v>29.435860951794897</v>
      </c>
      <c r="E107" s="11"/>
      <c r="F107" s="11">
        <f ca="1">IF(D107="","",(LN(((LN((D107/(100-D107))))-B50)/B51))*D22)</f>
        <v>26.757244138171732</v>
      </c>
      <c r="G107" s="11">
        <f t="shared" ca="1" si="16"/>
        <v>29.435860951794897</v>
      </c>
      <c r="H107" s="50">
        <f ca="1">IF(I176=C107,I107,"")</f>
        <v>26.8</v>
      </c>
      <c r="I107" s="52">
        <f t="shared" ca="1" si="17"/>
        <v>26.8</v>
      </c>
      <c r="J107" s="52"/>
      <c r="K107" s="52"/>
      <c r="L107" s="52"/>
      <c r="M107" s="52"/>
      <c r="N107" s="52"/>
      <c r="O107" s="52"/>
      <c r="P107" s="52"/>
      <c r="Q107" s="52"/>
      <c r="R107" s="52"/>
      <c r="S107" s="52"/>
      <c r="T107" s="52"/>
      <c r="U107" s="52"/>
      <c r="V107" s="52"/>
    </row>
    <row r="108" spans="1:22" x14ac:dyDescent="0.3">
      <c r="A108" s="11">
        <f ca="1">'FALL 3'!A108</f>
        <v>55.921474171140048</v>
      </c>
      <c r="B108" s="11">
        <f ca="1">'FALL 3'!B108</f>
        <v>29.972532191020719</v>
      </c>
      <c r="C108" s="11">
        <f>'FALL 3'!C108</f>
        <v>35</v>
      </c>
      <c r="D108" s="11">
        <f ca="1">IF(C108=0,"",(B108*0.01*(L37-L38)+L38))</f>
        <v>30.373081487772101</v>
      </c>
      <c r="E108" s="11"/>
      <c r="F108" s="11">
        <f ca="1">IF(D108="","",(LN(((LN((D108/(100-D108))))-B50)/B51))*D22)</f>
        <v>26.998559361918588</v>
      </c>
      <c r="G108" s="11">
        <f t="shared" ca="1" si="16"/>
        <v>30.373081487772101</v>
      </c>
      <c r="H108" s="50" t="str">
        <f ca="1">IF(I176=C108,I108,"")</f>
        <v/>
      </c>
      <c r="I108" s="52">
        <f t="shared" ca="1" si="17"/>
        <v>27</v>
      </c>
      <c r="J108" s="52"/>
      <c r="K108" s="52"/>
      <c r="L108" s="52"/>
      <c r="M108" s="52"/>
      <c r="N108" s="52"/>
      <c r="O108" s="52"/>
      <c r="P108" s="52"/>
      <c r="Q108" s="52"/>
      <c r="R108" s="52"/>
      <c r="S108" s="52"/>
      <c r="T108" s="52"/>
      <c r="U108" s="52"/>
      <c r="V108" s="52"/>
    </row>
    <row r="109" spans="1:22" x14ac:dyDescent="0.3">
      <c r="A109" s="11">
        <f ca="1">'FALL 3'!A109</f>
        <v>82.652071906329411</v>
      </c>
      <c r="B109" s="11">
        <f ca="1">'FALL 3'!B109</f>
        <v>30.123378148520377</v>
      </c>
      <c r="C109" s="11">
        <f>'FALL 3'!C109</f>
        <v>36</v>
      </c>
      <c r="D109" s="11">
        <f ca="1">IF(C109=0,"",(B109*0.01*(L37-L38)+L38))</f>
        <v>30.520910526569377</v>
      </c>
      <c r="E109" s="11"/>
      <c r="F109" s="11">
        <f ca="1">IF(D109="","",(LN(((LN((D109/(100-D109))))-B50)/B51))*D22)</f>
        <v>27.036128549100873</v>
      </c>
      <c r="G109" s="11">
        <f t="shared" ca="1" si="16"/>
        <v>30.520910526569377</v>
      </c>
      <c r="H109" s="50" t="str">
        <f ca="1">IF(I176=C109,I109,"")</f>
        <v/>
      </c>
      <c r="I109" s="52">
        <f t="shared" ca="1" si="17"/>
        <v>27</v>
      </c>
      <c r="J109" s="52"/>
      <c r="K109" s="52"/>
      <c r="L109" s="52"/>
      <c r="M109" s="52"/>
      <c r="N109" s="52"/>
      <c r="O109" s="52"/>
      <c r="P109" s="52"/>
      <c r="Q109" s="52"/>
      <c r="R109" s="52"/>
      <c r="S109" s="52"/>
      <c r="T109" s="52"/>
      <c r="U109" s="52"/>
      <c r="V109" s="52"/>
    </row>
    <row r="110" spans="1:22" x14ac:dyDescent="0.3">
      <c r="A110" s="11">
        <f ca="1">'FALL 3'!A110</f>
        <v>78.113730407507262</v>
      </c>
      <c r="B110" s="11">
        <f ca="1">'FALL 3'!B110</f>
        <v>30.392788314351847</v>
      </c>
      <c r="C110" s="11">
        <f>'FALL 3'!C110</f>
        <v>37</v>
      </c>
      <c r="D110" s="11">
        <f ca="1">IF(C110=0,"",(B110*0.01*(L37-L38)+L38))</f>
        <v>30.784932489883648</v>
      </c>
      <c r="E110" s="11"/>
      <c r="F110" s="11">
        <f ca="1">IF(D110="","",(LN(((LN((D110/(100-D110))))-B50)/B51))*D22)</f>
        <v>27.102904578826191</v>
      </c>
      <c r="G110" s="11">
        <f t="shared" ca="1" si="16"/>
        <v>30.784932489883648</v>
      </c>
      <c r="H110" s="50" t="str">
        <f ca="1">IF(I176=C110,I110,"")</f>
        <v/>
      </c>
      <c r="I110" s="52">
        <f t="shared" ca="1" si="17"/>
        <v>27.1</v>
      </c>
      <c r="J110" s="52"/>
      <c r="K110" s="52"/>
      <c r="L110" s="52"/>
      <c r="M110" s="52"/>
      <c r="N110" s="52"/>
      <c r="O110" s="52"/>
      <c r="P110" s="52"/>
      <c r="Q110" s="52"/>
      <c r="R110" s="52"/>
      <c r="S110" s="52"/>
      <c r="T110" s="52"/>
      <c r="U110" s="52"/>
      <c r="V110" s="52"/>
    </row>
    <row r="111" spans="1:22" x14ac:dyDescent="0.3">
      <c r="A111" s="11">
        <f ca="1">'FALL 3'!A111</f>
        <v>67.554798364905551</v>
      </c>
      <c r="B111" s="11">
        <f ca="1">'FALL 3'!B111</f>
        <v>30.928527190486321</v>
      </c>
      <c r="C111" s="11">
        <f>'FALL 3'!C111</f>
        <v>38</v>
      </c>
      <c r="D111" s="11">
        <f ca="1">IF(C111=0,"",(B111*0.01*(L37-L38)+L38))</f>
        <v>31.309956590085147</v>
      </c>
      <c r="E111" s="11"/>
      <c r="F111" s="11">
        <f ca="1">IF(D111="","",(LN(((LN((D111/(100-D111))))-B50)/B51))*D22)</f>
        <v>27.23449605721034</v>
      </c>
      <c r="G111" s="11">
        <f t="shared" ca="1" si="16"/>
        <v>31.309956590085147</v>
      </c>
      <c r="H111" s="50" t="str">
        <f ca="1">IF(I176=C111,I111,"")</f>
        <v/>
      </c>
      <c r="I111" s="52">
        <f t="shared" ca="1" si="17"/>
        <v>27.2</v>
      </c>
      <c r="J111" s="52"/>
      <c r="K111" s="52"/>
      <c r="L111" s="52"/>
      <c r="M111" s="52"/>
      <c r="N111" s="52"/>
      <c r="O111" s="52"/>
      <c r="P111" s="52"/>
      <c r="Q111" s="52"/>
      <c r="R111" s="52"/>
      <c r="S111" s="52"/>
      <c r="T111" s="52"/>
      <c r="U111" s="52"/>
      <c r="V111" s="52"/>
    </row>
    <row r="112" spans="1:22" x14ac:dyDescent="0.3">
      <c r="A112" s="11">
        <f ca="1">'FALL 3'!A112</f>
        <v>24.222389089655788</v>
      </c>
      <c r="B112" s="11">
        <f ca="1">'FALL 3'!B112</f>
        <v>33.284811034336883</v>
      </c>
      <c r="C112" s="11">
        <f>'FALL 3'!C112</f>
        <v>39</v>
      </c>
      <c r="D112" s="11">
        <f ca="1">IF(C112=0,"",(B112*0.01*(L37-L38)+L38))</f>
        <v>33.619114764050586</v>
      </c>
      <c r="E112" s="11"/>
      <c r="F112" s="11">
        <f ca="1">IF(D112="","",(LN(((LN((D112/(100-D112))))-B50)/B51))*D22)</f>
        <v>27.795874003062575</v>
      </c>
      <c r="G112" s="11">
        <f t="shared" ca="1" si="16"/>
        <v>33.619114764050586</v>
      </c>
      <c r="H112" s="50" t="str">
        <f ca="1">IF(I176=C112,I112,"")</f>
        <v/>
      </c>
      <c r="I112" s="52">
        <f t="shared" ca="1" si="17"/>
        <v>27.8</v>
      </c>
      <c r="J112" s="52"/>
      <c r="K112" s="52"/>
      <c r="L112" s="52"/>
      <c r="M112" s="52"/>
      <c r="N112" s="52"/>
      <c r="O112" s="52"/>
      <c r="P112" s="52"/>
      <c r="Q112" s="52"/>
      <c r="R112" s="52"/>
      <c r="S112" s="52"/>
      <c r="T112" s="52"/>
      <c r="U112" s="52"/>
      <c r="V112" s="52"/>
    </row>
    <row r="113" spans="1:22" x14ac:dyDescent="0.3">
      <c r="A113" s="11">
        <f ca="1">'FALL 3'!A113</f>
        <v>22.988763705825928</v>
      </c>
      <c r="B113" s="11">
        <f ca="1">'FALL 3'!B113</f>
        <v>33.68582618215472</v>
      </c>
      <c r="C113" s="11">
        <f>'FALL 3'!C113</f>
        <v>40</v>
      </c>
      <c r="D113" s="11">
        <f ca="1">IF(C113=0,"",(B113*0.01*(L37-L38)+L38))</f>
        <v>34.012109610102009</v>
      </c>
      <c r="E113" s="11"/>
      <c r="F113" s="11">
        <f ca="1">IF(D113="","",(LN(((LN((D113/(100-D113))))-B50)/B51))*D22)</f>
        <v>27.88883129634921</v>
      </c>
      <c r="G113" s="11">
        <f t="shared" ca="1" si="16"/>
        <v>34.012109610102009</v>
      </c>
      <c r="H113" s="50" t="str">
        <f ca="1">IF(I176=C113,I113,"")</f>
        <v/>
      </c>
      <c r="I113" s="52">
        <f t="shared" ca="1" si="17"/>
        <v>27.9</v>
      </c>
      <c r="J113" s="52"/>
      <c r="K113" s="52"/>
      <c r="L113" s="52"/>
      <c r="M113" s="52"/>
      <c r="N113" s="52"/>
      <c r="O113" s="52"/>
      <c r="P113" s="52"/>
      <c r="Q113" s="52"/>
      <c r="R113" s="52"/>
      <c r="S113" s="52"/>
      <c r="T113" s="52"/>
      <c r="U113" s="52"/>
      <c r="V113" s="52"/>
    </row>
    <row r="114" spans="1:22" x14ac:dyDescent="0.3">
      <c r="A114" s="11">
        <f ca="1">'FALL 3'!A114</f>
        <v>33.284811034336883</v>
      </c>
      <c r="B114" s="11">
        <f ca="1">'FALL 3'!B114</f>
        <v>33.716555255162135</v>
      </c>
      <c r="C114" s="11">
        <f>'FALL 3'!C114</f>
        <v>41</v>
      </c>
      <c r="D114" s="11">
        <f ca="1">IF(C114=0,"",(B114*0.01*(L37-L38)+L38))</f>
        <v>34.042224101740459</v>
      </c>
      <c r="E114" s="11"/>
      <c r="F114" s="11">
        <f ca="1">IF(D114="","",(LN(((LN((D114/(100-D114))))-B50)/B51))*D22)</f>
        <v>27.895925700627956</v>
      </c>
      <c r="G114" s="11">
        <f t="shared" ca="1" si="16"/>
        <v>34.042224101740459</v>
      </c>
      <c r="H114" s="50" t="str">
        <f ca="1">IF(I176=C114,I114,"")</f>
        <v/>
      </c>
      <c r="I114" s="52">
        <f t="shared" ca="1" si="17"/>
        <v>27.9</v>
      </c>
      <c r="J114" s="52"/>
      <c r="K114" s="52"/>
      <c r="L114" s="52"/>
      <c r="M114" s="52"/>
      <c r="N114" s="52"/>
      <c r="O114" s="52"/>
      <c r="P114" s="52"/>
      <c r="Q114" s="52"/>
      <c r="R114" s="52"/>
      <c r="S114" s="52"/>
      <c r="T114" s="52"/>
      <c r="U114" s="52"/>
      <c r="V114" s="52"/>
    </row>
    <row r="115" spans="1:22" x14ac:dyDescent="0.3">
      <c r="A115" s="11">
        <f ca="1">'FALL 3'!A115</f>
        <v>42.64756325440645</v>
      </c>
      <c r="B115" s="11">
        <f ca="1">'FALL 3'!B115</f>
        <v>34.688641730273304</v>
      </c>
      <c r="C115" s="11">
        <f>'FALL 3'!C115</f>
        <v>42</v>
      </c>
      <c r="D115" s="11">
        <f ca="1">IF(C115=0,"",(B115*0.01*(L37-L38)+L38))</f>
        <v>34.994868850233914</v>
      </c>
      <c r="E115" s="11"/>
      <c r="F115" s="11">
        <f ca="1">IF(D115="","",(LN(((LN((D115/(100-D115))))-B50)/B51))*D22)</f>
        <v>28.118315656357552</v>
      </c>
      <c r="G115" s="11">
        <f t="shared" ca="1" si="16"/>
        <v>34.994868850233914</v>
      </c>
      <c r="H115" s="50" t="str">
        <f ca="1">IF(I176=C115,I115,"")</f>
        <v/>
      </c>
      <c r="I115" s="52">
        <f t="shared" ca="1" si="17"/>
        <v>28.1</v>
      </c>
      <c r="J115" s="52"/>
      <c r="K115" s="52"/>
      <c r="L115" s="52"/>
      <c r="M115" s="52"/>
      <c r="N115" s="52"/>
      <c r="O115" s="52"/>
      <c r="P115" s="52"/>
      <c r="Q115" s="52"/>
      <c r="R115" s="52"/>
      <c r="S115" s="52"/>
      <c r="T115" s="52"/>
      <c r="U115" s="52"/>
      <c r="V115" s="52"/>
    </row>
    <row r="116" spans="1:22" x14ac:dyDescent="0.3">
      <c r="A116" s="11">
        <f ca="1">'FALL 3'!A116</f>
        <v>6.0767745995305233</v>
      </c>
      <c r="B116" s="11">
        <f ca="1">'FALL 3'!B116</f>
        <v>38.485894582626536</v>
      </c>
      <c r="C116" s="11">
        <f>'FALL 3'!C116</f>
        <v>43</v>
      </c>
      <c r="D116" s="11">
        <f ca="1">IF(C116=0,"",(B116*0.01*(L37-L38)+L38))</f>
        <v>38.716176656807797</v>
      </c>
      <c r="E116" s="11"/>
      <c r="F116" s="11">
        <f ca="1">IF(D116="","",(LN(((LN((D116/(100-D116))))-B50)/B51))*D22)</f>
        <v>28.95367457644306</v>
      </c>
      <c r="G116" s="11">
        <f t="shared" ca="1" si="16"/>
        <v>38.716176656807797</v>
      </c>
      <c r="H116" s="50" t="str">
        <f ca="1">IF(I176=C116,I116,"")</f>
        <v/>
      </c>
      <c r="I116" s="52">
        <f t="shared" ca="1" si="17"/>
        <v>29</v>
      </c>
      <c r="J116" s="52"/>
      <c r="K116" s="52"/>
      <c r="L116" s="52"/>
      <c r="M116" s="52"/>
      <c r="N116" s="52"/>
      <c r="O116" s="52"/>
      <c r="P116" s="52"/>
      <c r="Q116" s="52"/>
      <c r="R116" s="52"/>
      <c r="S116" s="52"/>
      <c r="T116" s="52"/>
      <c r="U116" s="52"/>
      <c r="V116" s="52"/>
    </row>
    <row r="117" spans="1:22" x14ac:dyDescent="0.3">
      <c r="A117" s="11">
        <f ca="1">'FALL 3'!A117</f>
        <v>82.170865037115789</v>
      </c>
      <c r="B117" s="11">
        <f ca="1">'FALL 3'!B117</f>
        <v>40.248097189293503</v>
      </c>
      <c r="C117" s="11">
        <f>'FALL 3'!C117</f>
        <v>44</v>
      </c>
      <c r="D117" s="11">
        <f ca="1">IF(C117=0,"",(B117*0.01*(L37-L38)+L38))</f>
        <v>40.443135216570468</v>
      </c>
      <c r="E117" s="11"/>
      <c r="F117" s="11">
        <f ca="1">IF(D117="","",(LN(((LN((D117/(100-D117))))-B50)/B51))*D22)</f>
        <v>29.326215615454849</v>
      </c>
      <c r="G117" s="11">
        <f t="shared" ca="1" si="16"/>
        <v>40.443135216570468</v>
      </c>
      <c r="H117" s="50" t="str">
        <f ca="1">IF(I176=C117,I117,"")</f>
        <v/>
      </c>
      <c r="I117" s="52">
        <f t="shared" ca="1" si="17"/>
        <v>29.3</v>
      </c>
      <c r="J117" s="52"/>
      <c r="K117" s="52"/>
      <c r="L117" s="52"/>
      <c r="M117" s="52"/>
      <c r="N117" s="52"/>
      <c r="O117" s="52"/>
      <c r="P117" s="52"/>
      <c r="Q117" s="52"/>
      <c r="R117" s="52"/>
      <c r="S117" s="52"/>
      <c r="T117" s="52"/>
      <c r="U117" s="52"/>
      <c r="V117" s="52"/>
    </row>
    <row r="118" spans="1:22" x14ac:dyDescent="0.3">
      <c r="A118" s="11">
        <f ca="1">'FALL 3'!A118</f>
        <v>75.343875189459823</v>
      </c>
      <c r="B118" s="11">
        <f ca="1">'FALL 3'!B118</f>
        <v>40.887985740747538</v>
      </c>
      <c r="C118" s="11">
        <f>'FALL 3'!C118</f>
        <v>45</v>
      </c>
      <c r="D118" s="11">
        <f ca="1">IF(C118=0,"",(B118*0.01*(L37-L38)+L38))</f>
        <v>41.070225998894195</v>
      </c>
      <c r="E118" s="11"/>
      <c r="F118" s="11">
        <f ca="1">IF(D118="","",(LN(((LN((D118/(100-D118))))-B50)/B51))*D22)</f>
        <v>29.459505474109619</v>
      </c>
      <c r="G118" s="11">
        <f t="shared" ca="1" si="16"/>
        <v>41.070225998894195</v>
      </c>
      <c r="H118" s="50" t="str">
        <f ca="1">IF(I176=C118,I118,"")</f>
        <v/>
      </c>
      <c r="I118" s="52">
        <f t="shared" ca="1" si="17"/>
        <v>29.5</v>
      </c>
      <c r="J118" s="52"/>
      <c r="K118" s="52"/>
      <c r="L118" s="52"/>
      <c r="M118" s="52"/>
      <c r="N118" s="52"/>
      <c r="O118" s="52"/>
      <c r="P118" s="52"/>
      <c r="Q118" s="52"/>
      <c r="R118" s="52"/>
      <c r="S118" s="52"/>
      <c r="T118" s="52"/>
      <c r="U118" s="52"/>
      <c r="V118" s="52"/>
    </row>
    <row r="119" spans="1:22" x14ac:dyDescent="0.3">
      <c r="A119" s="11">
        <f ca="1">'FALL 3'!A119</f>
        <v>69.999571086914443</v>
      </c>
      <c r="B119" s="11">
        <f ca="1">'FALL 3'!B119</f>
        <v>41.943122432623468</v>
      </c>
      <c r="C119" s="11">
        <f>'FALL 3'!C119</f>
        <v>46</v>
      </c>
      <c r="D119" s="11">
        <f ca="1">IF(C119=0,"",(B119*0.01*(L37-L38)+L38))</f>
        <v>42.104259960063544</v>
      </c>
      <c r="E119" s="11"/>
      <c r="F119" s="11">
        <f ca="1">IF(D119="","",(LN(((LN((D119/(100-D119))))-B50)/B51))*D22)</f>
        <v>29.67720544090642</v>
      </c>
      <c r="G119" s="11">
        <f t="shared" ca="1" si="16"/>
        <v>42.104259960063544</v>
      </c>
      <c r="H119" s="50" t="str">
        <f ca="1">IF(I176=C119,I119,"")</f>
        <v/>
      </c>
      <c r="I119" s="52">
        <f t="shared" ca="1" si="17"/>
        <v>29.7</v>
      </c>
      <c r="J119" s="52"/>
      <c r="K119" s="52"/>
      <c r="L119" s="52"/>
      <c r="M119" s="52"/>
      <c r="N119" s="52"/>
      <c r="O119" s="52"/>
      <c r="P119" s="52"/>
      <c r="Q119" s="52"/>
      <c r="R119" s="52"/>
      <c r="S119" s="52"/>
      <c r="T119" s="52"/>
      <c r="U119" s="52"/>
      <c r="V119" s="52"/>
    </row>
    <row r="120" spans="1:22" x14ac:dyDescent="0.3">
      <c r="A120" s="11">
        <f ca="1">'FALL 3'!A120</f>
        <v>46.519875010849667</v>
      </c>
      <c r="B120" s="11">
        <f ca="1">'FALL 3'!B120</f>
        <v>42.527251835919955</v>
      </c>
      <c r="C120" s="11">
        <f>'FALL 3'!C120</f>
        <v>47</v>
      </c>
      <c r="D120" s="11">
        <f ca="1">IF(C120=0,"",(B120*0.01*(L37-L38)+L38))</f>
        <v>42.676706777027412</v>
      </c>
      <c r="E120" s="11"/>
      <c r="F120" s="11">
        <f ca="1">IF(D120="","",(LN(((LN((D120/(100-D120))))-B50)/B51))*D22)</f>
        <v>29.796683281519588</v>
      </c>
      <c r="G120" s="11">
        <f t="shared" ca="1" si="16"/>
        <v>42.676706777027412</v>
      </c>
      <c r="H120" s="50" t="str">
        <f ca="1">IF(I176=C120,I120,"")</f>
        <v/>
      </c>
      <c r="I120" s="52">
        <f t="shared" ca="1" si="17"/>
        <v>29.8</v>
      </c>
      <c r="J120" s="52"/>
      <c r="K120" s="52"/>
      <c r="L120" s="52"/>
      <c r="M120" s="52"/>
      <c r="N120" s="52"/>
      <c r="O120" s="52"/>
      <c r="P120" s="52"/>
      <c r="Q120" s="52"/>
      <c r="R120" s="52"/>
      <c r="S120" s="52"/>
      <c r="T120" s="52"/>
      <c r="U120" s="52"/>
      <c r="V120" s="52"/>
    </row>
    <row r="121" spans="1:22" x14ac:dyDescent="0.3">
      <c r="A121" s="11">
        <f ca="1">'FALL 3'!A121</f>
        <v>19.165157236496931</v>
      </c>
      <c r="B121" s="11">
        <f ca="1">'FALL 3'!B121</f>
        <v>42.64756325440645</v>
      </c>
      <c r="C121" s="11">
        <f>'FALL 3'!C121</f>
        <v>48</v>
      </c>
      <c r="D121" s="11">
        <f ca="1">IF(C121=0,"",(B121*0.01*(L37-L38)+L38))</f>
        <v>42.794611967501183</v>
      </c>
      <c r="E121" s="11"/>
      <c r="F121" s="11">
        <f ca="1">IF(D121="","",(LN(((LN((D121/(100-D121))))-B50)/B51))*D22)</f>
        <v>29.82120453664222</v>
      </c>
      <c r="G121" s="11">
        <f t="shared" ca="1" si="16"/>
        <v>42.794611967501183</v>
      </c>
      <c r="H121" s="50" t="str">
        <f ca="1">IF(I176=C121,I121,"")</f>
        <v/>
      </c>
      <c r="I121" s="52">
        <f t="shared" ca="1" si="17"/>
        <v>29.8</v>
      </c>
      <c r="J121" s="52"/>
      <c r="K121" s="52"/>
      <c r="L121" s="52"/>
      <c r="M121" s="52"/>
      <c r="N121" s="52"/>
      <c r="O121" s="52"/>
      <c r="P121" s="52"/>
      <c r="Q121" s="52"/>
      <c r="R121" s="52"/>
      <c r="S121" s="52"/>
      <c r="T121" s="52"/>
      <c r="U121" s="52"/>
      <c r="V121" s="52"/>
    </row>
    <row r="122" spans="1:22" x14ac:dyDescent="0.3">
      <c r="A122" s="11">
        <f ca="1">'FALL 3'!A122</f>
        <v>47.174797672067406</v>
      </c>
      <c r="B122" s="11">
        <f ca="1">'FALL 3'!B122</f>
        <v>42.764662812604882</v>
      </c>
      <c r="C122" s="11">
        <f>'FALL 3'!C122</f>
        <v>49</v>
      </c>
      <c r="D122" s="11">
        <f ca="1">IF(C122=0,"",(B122*0.01*(L37-L38)+L38))</f>
        <v>42.909369534883112</v>
      </c>
      <c r="E122" s="11"/>
      <c r="F122" s="11">
        <f ca="1">IF(D122="","",(LN(((LN((D122/(100-D122))))-B50)/B51))*D22)</f>
        <v>29.845043295070759</v>
      </c>
      <c r="G122" s="11">
        <f t="shared" ca="1" si="16"/>
        <v>42.909369534883112</v>
      </c>
      <c r="H122" s="50" t="str">
        <f ca="1">IF(I176=C122,I122,"")</f>
        <v/>
      </c>
      <c r="I122" s="52">
        <f t="shared" ca="1" si="17"/>
        <v>29.8</v>
      </c>
      <c r="J122" s="52"/>
      <c r="K122" s="52"/>
      <c r="L122" s="52"/>
      <c r="M122" s="52"/>
      <c r="N122" s="52"/>
      <c r="O122" s="52"/>
      <c r="P122" s="52"/>
      <c r="Q122" s="52"/>
      <c r="R122" s="52"/>
      <c r="S122" s="52"/>
      <c r="T122" s="52"/>
      <c r="U122" s="52"/>
      <c r="V122" s="52"/>
    </row>
    <row r="123" spans="1:22" x14ac:dyDescent="0.3">
      <c r="A123" s="11">
        <f ca="1">'FALL 3'!A123</f>
        <v>5.7089520016855859</v>
      </c>
      <c r="B123" s="11">
        <f ca="1">'FALL 3'!B123</f>
        <v>45.096774778301601</v>
      </c>
      <c r="C123" s="11">
        <f>'FALL 3'!C123</f>
        <v>50</v>
      </c>
      <c r="D123" s="11">
        <f ca="1">IF(C123=0,"",(B123*0.01*(L37-L38)+L38))</f>
        <v>45.194839268186058</v>
      </c>
      <c r="E123" s="11"/>
      <c r="F123" s="11">
        <f ca="1">IF(D123="","",(LN(((LN((D123/(100-D123))))-B50)/B51))*D22)</f>
        <v>30.314543995829336</v>
      </c>
      <c r="G123" s="11">
        <f t="shared" ca="1" si="16"/>
        <v>45.194839268186058</v>
      </c>
      <c r="H123" s="50" t="str">
        <f ca="1">IF(I176=C123,I123,"")</f>
        <v/>
      </c>
      <c r="I123" s="52">
        <f t="shared" ca="1" si="17"/>
        <v>30.3</v>
      </c>
      <c r="J123" s="52"/>
      <c r="K123" s="52"/>
      <c r="L123" s="52"/>
      <c r="M123" s="52"/>
      <c r="N123" s="52"/>
      <c r="O123" s="52"/>
      <c r="P123" s="52"/>
      <c r="Q123" s="52"/>
      <c r="R123" s="52"/>
      <c r="S123" s="52"/>
      <c r="T123" s="52"/>
      <c r="U123" s="52"/>
      <c r="V123" s="52"/>
    </row>
    <row r="124" spans="1:22" x14ac:dyDescent="0.3">
      <c r="A124" s="11">
        <f ca="1">'FALL 3'!A124</f>
        <v>82.996098998149179</v>
      </c>
      <c r="B124" s="11">
        <f ca="1">'FALL 3'!B124</f>
        <v>45.131435825901526</v>
      </c>
      <c r="C124" s="11">
        <f>'FALL 3'!C124</f>
        <v>51</v>
      </c>
      <c r="D124" s="11">
        <f ca="1">IF(C124=0,"",(B124*0.01*(L37-L38)+L38))</f>
        <v>45.22880709493684</v>
      </c>
      <c r="E124" s="11"/>
      <c r="F124" s="11">
        <f ca="1">IF(D124="","",(LN(((LN((D124/(100-D124))))-B50)/B51))*D22)</f>
        <v>30.321452619647705</v>
      </c>
      <c r="G124" s="11">
        <f t="shared" ca="1" si="16"/>
        <v>45.22880709493684</v>
      </c>
      <c r="H124" s="50" t="str">
        <f ca="1">IF(I176=C124,I124,"")</f>
        <v/>
      </c>
      <c r="I124" s="52">
        <f t="shared" ca="1" si="17"/>
        <v>30.3</v>
      </c>
      <c r="J124" s="52"/>
      <c r="K124" s="52"/>
      <c r="L124" s="52"/>
      <c r="M124" s="52"/>
      <c r="N124" s="52"/>
      <c r="O124" s="52"/>
      <c r="P124" s="52"/>
      <c r="Q124" s="52"/>
      <c r="R124" s="52"/>
      <c r="S124" s="52"/>
      <c r="T124" s="52"/>
      <c r="U124" s="52"/>
      <c r="V124" s="52"/>
    </row>
    <row r="125" spans="1:22" x14ac:dyDescent="0.3">
      <c r="A125" s="11">
        <f ca="1">'FALL 3'!A125</f>
        <v>77.294214300749587</v>
      </c>
      <c r="B125" s="11">
        <f ca="1">'FALL 3'!B125</f>
        <v>45.47883392341403</v>
      </c>
      <c r="C125" s="11">
        <f>'FALL 3'!C125</f>
        <v>52</v>
      </c>
      <c r="D125" s="11">
        <f ca="1">IF(C125=0,"",(B125*0.01*(L37-L38)+L38))</f>
        <v>45.569257231529939</v>
      </c>
      <c r="E125" s="11"/>
      <c r="F125" s="11">
        <f ca="1">IF(D125="","",(LN(((LN((D125/(100-D125))))-B50)/B51))*D22)</f>
        <v>30.390594413967655</v>
      </c>
      <c r="G125" s="11">
        <f t="shared" ca="1" si="16"/>
        <v>45.569257231529939</v>
      </c>
      <c r="H125" s="50" t="str">
        <f ca="1">IF(I176=C125,I125,"")</f>
        <v/>
      </c>
      <c r="I125" s="52">
        <f t="shared" ca="1" si="17"/>
        <v>30.4</v>
      </c>
      <c r="J125" s="52"/>
      <c r="K125" s="52"/>
      <c r="L125" s="52"/>
      <c r="M125" s="52"/>
      <c r="N125" s="52"/>
      <c r="O125" s="52"/>
      <c r="P125" s="52"/>
      <c r="Q125" s="52"/>
      <c r="R125" s="52"/>
      <c r="S125" s="52"/>
      <c r="T125" s="52"/>
      <c r="U125" s="52"/>
      <c r="V125" s="52"/>
    </row>
    <row r="126" spans="1:22" x14ac:dyDescent="0.3">
      <c r="A126" s="11">
        <f ca="1">'FALL 3'!A126</f>
        <v>2.3210931377733552</v>
      </c>
      <c r="B126" s="11">
        <f ca="1">'FALL 3'!B126</f>
        <v>45.645021212545792</v>
      </c>
      <c r="C126" s="11">
        <f>'FALL 3'!C126</f>
        <v>53</v>
      </c>
      <c r="D126" s="11">
        <f ca="1">IF(C126=0,"",(B126*0.01*(L37-L38)+L38))</f>
        <v>45.732120775372195</v>
      </c>
      <c r="E126" s="11"/>
      <c r="F126" s="11">
        <f ca="1">IF(D126="","",(LN(((LN((D126/(100-D126))))-B50)/B51))*D22)</f>
        <v>30.423606395751996</v>
      </c>
      <c r="G126" s="11">
        <f t="shared" ca="1" si="16"/>
        <v>45.732120775372195</v>
      </c>
      <c r="H126" s="50" t="str">
        <f ca="1">IF(I176=C126,I126,"")</f>
        <v/>
      </c>
      <c r="I126" s="52">
        <f t="shared" ca="1" si="17"/>
        <v>30.4</v>
      </c>
      <c r="J126" s="52"/>
      <c r="K126" s="52"/>
      <c r="L126" s="52"/>
      <c r="M126" s="52"/>
      <c r="N126" s="52"/>
      <c r="O126" s="52"/>
      <c r="P126" s="52"/>
      <c r="Q126" s="52"/>
      <c r="R126" s="52"/>
      <c r="S126" s="52"/>
      <c r="T126" s="52"/>
      <c r="U126" s="52"/>
      <c r="V126" s="52"/>
    </row>
    <row r="127" spans="1:22" x14ac:dyDescent="0.3">
      <c r="A127" s="11">
        <f ca="1">'FALL 3'!A127</f>
        <v>22.66610817703523</v>
      </c>
      <c r="B127" s="11">
        <f ca="1">'FALL 3'!B127</f>
        <v>46.064691747729199</v>
      </c>
      <c r="C127" s="11">
        <f>'FALL 3'!C127</f>
        <v>54</v>
      </c>
      <c r="D127" s="11">
        <f ca="1">IF(C127=0,"",(B127*0.01*(L37-L38)+L38))</f>
        <v>46.143397901097238</v>
      </c>
      <c r="E127" s="11"/>
      <c r="F127" s="11">
        <f ca="1">IF(D127="","",(LN(((LN((D127/(100-D127))))-B50)/B51))*D22)</f>
        <v>30.506793736995601</v>
      </c>
      <c r="G127" s="11">
        <f t="shared" ca="1" si="16"/>
        <v>46.143397901097238</v>
      </c>
      <c r="H127" s="50" t="str">
        <f ca="1">IF(I176=C127,I127,"")</f>
        <v/>
      </c>
      <c r="I127" s="52">
        <f t="shared" ca="1" si="17"/>
        <v>30.5</v>
      </c>
      <c r="J127" s="52"/>
      <c r="K127" s="52"/>
      <c r="L127" s="52"/>
      <c r="M127" s="52"/>
      <c r="N127" s="52"/>
      <c r="O127" s="52"/>
      <c r="P127" s="52"/>
      <c r="Q127" s="52"/>
      <c r="R127" s="52"/>
      <c r="S127" s="52"/>
      <c r="T127" s="52"/>
      <c r="U127" s="52"/>
      <c r="V127" s="52"/>
    </row>
    <row r="128" spans="1:22" x14ac:dyDescent="0.3">
      <c r="A128" s="11">
        <f ca="1">'FALL 3'!A128</f>
        <v>64.209943240490091</v>
      </c>
      <c r="B128" s="11">
        <f ca="1">'FALL 3'!B128</f>
        <v>46.519875010849667</v>
      </c>
      <c r="C128" s="11">
        <f>'FALL 3'!C128</f>
        <v>55</v>
      </c>
      <c r="D128" s="11">
        <f ca="1">IF(C128=0,"",(B128*0.01*(L37-L38)+L38))</f>
        <v>46.589477500305975</v>
      </c>
      <c r="E128" s="11"/>
      <c r="F128" s="11">
        <f ca="1">IF(D128="","",(LN(((LN((D128/(100-D128))))-B50)/B51))*D22)</f>
        <v>30.596744947690517</v>
      </c>
      <c r="G128" s="11">
        <f t="shared" ca="1" si="16"/>
        <v>46.589477500305975</v>
      </c>
      <c r="H128" s="50" t="str">
        <f ca="1">IF(I176=C128,I128,"")</f>
        <v/>
      </c>
      <c r="I128" s="52">
        <f t="shared" ca="1" si="17"/>
        <v>30.6</v>
      </c>
      <c r="J128" s="52"/>
      <c r="K128" s="52"/>
      <c r="L128" s="52"/>
      <c r="M128" s="52"/>
      <c r="N128" s="52"/>
      <c r="O128" s="52"/>
      <c r="P128" s="52"/>
      <c r="Q128" s="52"/>
      <c r="R128" s="52"/>
      <c r="S128" s="52"/>
      <c r="T128" s="52"/>
      <c r="U128" s="52"/>
      <c r="V128" s="52"/>
    </row>
    <row r="129" spans="1:22" x14ac:dyDescent="0.3">
      <c r="A129" s="11">
        <f ca="1">'FALL 3'!A129</f>
        <v>41.943122432623468</v>
      </c>
      <c r="B129" s="11">
        <f ca="1">'FALL 3'!B129</f>
        <v>47.174797672067406</v>
      </c>
      <c r="C129" s="11">
        <f>'FALL 3'!C129</f>
        <v>56</v>
      </c>
      <c r="D129" s="11">
        <f ca="1">IF(C129=0,"",(B129*0.01*(L37-L38)+L38))</f>
        <v>47.231301710242739</v>
      </c>
      <c r="E129" s="11"/>
      <c r="F129" s="11">
        <f ca="1">IF(D129="","",(LN(((LN((D129/(100-D129))))-B50)/B51))*D22)</f>
        <v>30.725696008877023</v>
      </c>
      <c r="G129" s="11">
        <f t="shared" ca="1" si="16"/>
        <v>47.231301710242739</v>
      </c>
      <c r="H129" s="50" t="str">
        <f ca="1">IF(I176=C129,I129,"")</f>
        <v/>
      </c>
      <c r="I129" s="52">
        <f t="shared" ca="1" si="17"/>
        <v>30.7</v>
      </c>
      <c r="J129" s="52"/>
      <c r="K129" s="52"/>
      <c r="L129" s="52"/>
      <c r="M129" s="52"/>
      <c r="N129" s="52"/>
      <c r="O129" s="52"/>
      <c r="P129" s="52"/>
      <c r="Q129" s="52"/>
      <c r="R129" s="52"/>
      <c r="S129" s="52"/>
      <c r="T129" s="52"/>
      <c r="U129" s="52"/>
      <c r="V129" s="52"/>
    </row>
    <row r="130" spans="1:22" x14ac:dyDescent="0.3">
      <c r="A130" s="11">
        <f ca="1">'FALL 3'!A130</f>
        <v>48.024743567904558</v>
      </c>
      <c r="B130" s="11">
        <f ca="1">'FALL 3'!B130</f>
        <v>48.024743567904558</v>
      </c>
      <c r="C130" s="11">
        <f>'FALL 3'!C130</f>
        <v>57</v>
      </c>
      <c r="D130" s="11">
        <f ca="1">IF(C130=0,"",(B130*0.01*(L37-L38)+L38))</f>
        <v>48.064248690685218</v>
      </c>
      <c r="E130" s="11"/>
      <c r="F130" s="11">
        <f ca="1">IF(D130="","",(LN(((LN((D130/(100-D130))))-B50)/B51))*D22)</f>
        <v>30.892285450749092</v>
      </c>
      <c r="G130" s="11">
        <f t="shared" ca="1" si="16"/>
        <v>48.064248690685218</v>
      </c>
      <c r="H130" s="50" t="str">
        <f ca="1">IF(I176=C130,I130,"")</f>
        <v/>
      </c>
      <c r="I130" s="52">
        <f t="shared" ca="1" si="17"/>
        <v>30.9</v>
      </c>
      <c r="J130" s="52"/>
      <c r="K130" s="52"/>
      <c r="L130" s="52"/>
      <c r="M130" s="52"/>
      <c r="N130" s="52"/>
      <c r="O130" s="52"/>
      <c r="P130" s="52"/>
      <c r="Q130" s="52"/>
      <c r="R130" s="52"/>
      <c r="S130" s="52"/>
      <c r="T130" s="52"/>
      <c r="U130" s="52"/>
      <c r="V130" s="52"/>
    </row>
    <row r="131" spans="1:22" x14ac:dyDescent="0.3">
      <c r="A131" s="11">
        <f ca="1">'FALL 3'!A131</f>
        <v>57.057053405632232</v>
      </c>
      <c r="B131" s="11">
        <f ca="1">'FALL 3'!B131</f>
        <v>49.691148443190642</v>
      </c>
      <c r="C131" s="11">
        <f>'FALL 3'!C131</f>
        <v>58</v>
      </c>
      <c r="D131" s="11">
        <f ca="1">IF(C131=0,"",(B131*0.01*(L37-L38)+L38))</f>
        <v>49.697325473410359</v>
      </c>
      <c r="E131" s="11"/>
      <c r="F131" s="11">
        <f ca="1">IF(D131="","",(LN(((LN((D131/(100-D131))))-B50)/B51))*D22)</f>
        <v>31.216765087293215</v>
      </c>
      <c r="G131" s="11">
        <f t="shared" ca="1" si="16"/>
        <v>49.697325473410359</v>
      </c>
      <c r="H131" s="50" t="str">
        <f ca="1">IF(I176=C131,I131,"")</f>
        <v/>
      </c>
      <c r="I131" s="52">
        <f t="shared" ca="1" si="17"/>
        <v>31.2</v>
      </c>
      <c r="J131" s="52"/>
      <c r="K131" s="52"/>
      <c r="L131" s="52"/>
      <c r="M131" s="52"/>
      <c r="N131" s="52"/>
      <c r="O131" s="52"/>
      <c r="P131" s="52"/>
      <c r="Q131" s="52"/>
      <c r="R131" s="52"/>
      <c r="S131" s="52"/>
      <c r="T131" s="52"/>
      <c r="U131" s="52"/>
      <c r="V131" s="52"/>
    </row>
    <row r="132" spans="1:22" x14ac:dyDescent="0.3">
      <c r="A132" s="11">
        <f ca="1">'FALL 3'!A132</f>
        <v>57.963653871992953</v>
      </c>
      <c r="B132" s="11">
        <f ca="1">'FALL 3'!B132</f>
        <v>49.839586191156599</v>
      </c>
      <c r="C132" s="11">
        <f>'FALL 3'!C132</f>
        <v>59</v>
      </c>
      <c r="D132" s="11">
        <f ca="1">IF(C132=0,"",(B132*0.01*(L37-L38)+L38))</f>
        <v>49.842794466857463</v>
      </c>
      <c r="E132" s="11"/>
      <c r="F132" s="11">
        <f ca="1">IF(D132="","",(LN(((LN((D132/(100-D132))))-B50)/B51))*D22)</f>
        <v>31.245550399501042</v>
      </c>
      <c r="G132" s="11">
        <f t="shared" ca="1" si="16"/>
        <v>49.842794466857463</v>
      </c>
      <c r="H132" s="50" t="str">
        <f ca="1">IF(I176=C132,I132,"")</f>
        <v/>
      </c>
      <c r="I132" s="52">
        <f t="shared" ca="1" si="17"/>
        <v>31.2</v>
      </c>
      <c r="J132" s="52"/>
      <c r="K132" s="52"/>
      <c r="L132" s="52"/>
      <c r="M132" s="52"/>
      <c r="N132" s="52"/>
      <c r="O132" s="52"/>
      <c r="P132" s="52"/>
      <c r="Q132" s="52"/>
      <c r="R132" s="52"/>
      <c r="S132" s="52"/>
      <c r="T132" s="52"/>
      <c r="U132" s="52"/>
      <c r="V132" s="52"/>
    </row>
    <row r="133" spans="1:22" x14ac:dyDescent="0.3">
      <c r="A133" s="11">
        <f ca="1">'FALL 3'!A133</f>
        <v>49.839586191156599</v>
      </c>
      <c r="B133" s="11">
        <f ca="1">'FALL 3'!B133</f>
        <v>50.172602681297342</v>
      </c>
      <c r="C133" s="11">
        <f>'FALL 3'!C133</f>
        <v>60</v>
      </c>
      <c r="D133" s="11">
        <f ca="1">IF(C133=0,"",(B133*0.01*(L37-L38)+L38))</f>
        <v>50.169150628183566</v>
      </c>
      <c r="E133" s="11"/>
      <c r="F133" s="11">
        <f ca="1">IF(D133="","",(LN(((LN((D133/(100-D133))))-B50)/B51))*D22)</f>
        <v>31.310068139972959</v>
      </c>
      <c r="G133" s="11">
        <f t="shared" ca="1" si="16"/>
        <v>50.169150628183566</v>
      </c>
      <c r="H133" s="50" t="str">
        <f ca="1">IF(I176=C133,I133,"")</f>
        <v/>
      </c>
      <c r="I133" s="52">
        <f t="shared" ca="1" si="17"/>
        <v>31.3</v>
      </c>
      <c r="J133" s="52"/>
      <c r="K133" s="52"/>
      <c r="L133" s="52"/>
      <c r="M133" s="52"/>
      <c r="N133" s="52"/>
      <c r="O133" s="52"/>
      <c r="P133" s="52"/>
      <c r="Q133" s="52"/>
      <c r="R133" s="52"/>
      <c r="S133" s="52"/>
      <c r="T133" s="52"/>
      <c r="U133" s="52"/>
      <c r="V133" s="52"/>
    </row>
    <row r="134" spans="1:22" x14ac:dyDescent="0.3">
      <c r="A134" s="11">
        <f ca="1">'FALL 3'!A134</f>
        <v>10.53043649250084</v>
      </c>
      <c r="B134" s="11">
        <f ca="1">'FALL 3'!B134</f>
        <v>54.990009558994942</v>
      </c>
      <c r="C134" s="11">
        <f>'FALL 3'!C134</f>
        <v>61</v>
      </c>
      <c r="D134" s="11">
        <f ca="1">IF(C134=0,"",(B134*0.01*(L37-L38)+L38))</f>
        <v>54.890209382622075</v>
      </c>
      <c r="E134" s="11"/>
      <c r="F134" s="11">
        <f ca="1">IF(D134="","",(LN(((LN((D134/(100-D134))))-B50)/B51))*D22)</f>
        <v>32.237223348466721</v>
      </c>
      <c r="G134" s="11">
        <f t="shared" ca="1" si="16"/>
        <v>54.890209382622075</v>
      </c>
      <c r="H134" s="50" t="str">
        <f ca="1">IF(I176=C134,I134,"")</f>
        <v/>
      </c>
      <c r="I134" s="52">
        <f t="shared" ca="1" si="17"/>
        <v>32.200000000000003</v>
      </c>
      <c r="J134" s="52"/>
      <c r="K134" s="52"/>
      <c r="L134" s="52"/>
      <c r="M134" s="52"/>
      <c r="N134" s="52"/>
      <c r="O134" s="52"/>
      <c r="P134" s="52"/>
      <c r="Q134" s="52"/>
      <c r="R134" s="52"/>
      <c r="S134" s="52"/>
      <c r="T134" s="52"/>
      <c r="U134" s="52"/>
      <c r="V134" s="52"/>
    </row>
    <row r="135" spans="1:22" x14ac:dyDescent="0.3">
      <c r="A135" s="11">
        <f ca="1">'FALL 3'!A135</f>
        <v>45.131435825901526</v>
      </c>
      <c r="B135" s="11">
        <f ca="1">'FALL 3'!B135</f>
        <v>55.921474171140048</v>
      </c>
      <c r="C135" s="11">
        <f>'FALL 3'!C135</f>
        <v>62</v>
      </c>
      <c r="D135" s="11">
        <f ca="1">IF(C135=0,"",(B135*0.01*(L37-L38)+L38))</f>
        <v>55.803044705288244</v>
      </c>
      <c r="E135" s="11"/>
      <c r="F135" s="11">
        <f ca="1">IF(D135="","",(LN(((LN((D135/(100-D135))))-B50)/B51))*D22)</f>
        <v>32.415985531306305</v>
      </c>
      <c r="G135" s="11">
        <f t="shared" ca="1" si="16"/>
        <v>55.803044705288244</v>
      </c>
      <c r="H135" s="50" t="str">
        <f ca="1">IF(I176=C135,I135,"")</f>
        <v/>
      </c>
      <c r="I135" s="52">
        <f t="shared" ca="1" si="17"/>
        <v>32.4</v>
      </c>
      <c r="J135" s="52"/>
      <c r="K135" s="52"/>
      <c r="L135" s="52"/>
      <c r="M135" s="52"/>
      <c r="N135" s="52"/>
      <c r="O135" s="52"/>
      <c r="P135" s="52"/>
      <c r="Q135" s="52"/>
      <c r="R135" s="52"/>
      <c r="S135" s="52"/>
      <c r="T135" s="52"/>
      <c r="U135" s="52"/>
      <c r="V135" s="52"/>
    </row>
    <row r="136" spans="1:22" x14ac:dyDescent="0.3">
      <c r="A136" s="11">
        <f ca="1">'FALL 3'!A136</f>
        <v>8.6086870533608284</v>
      </c>
      <c r="B136" s="11">
        <f ca="1">'FALL 3'!B136</f>
        <v>57.057053405632232</v>
      </c>
      <c r="C136" s="11">
        <f>'FALL 3'!C136</f>
        <v>63</v>
      </c>
      <c r="D136" s="11">
        <f ca="1">IF(C136=0,"",(B136*0.01*(L37-L38)+L38))</f>
        <v>56.915912358460226</v>
      </c>
      <c r="E136" s="11"/>
      <c r="F136" s="11">
        <f ca="1">IF(D136="","",(LN(((LN((D136/(100-D136))))-B50)/B51))*D22)</f>
        <v>32.634106873868383</v>
      </c>
      <c r="G136" s="11">
        <f t="shared" ca="1" si="16"/>
        <v>56.915912358460226</v>
      </c>
      <c r="H136" s="50" t="str">
        <f ca="1">IF(I176=C136,I136,"")</f>
        <v/>
      </c>
      <c r="I136" s="52">
        <f t="shared" ca="1" si="17"/>
        <v>32.6</v>
      </c>
      <c r="J136" s="52"/>
      <c r="K136" s="52"/>
      <c r="L136" s="52"/>
      <c r="M136" s="52"/>
      <c r="N136" s="52"/>
      <c r="O136" s="52"/>
      <c r="P136" s="52"/>
      <c r="Q136" s="52"/>
      <c r="R136" s="52"/>
      <c r="S136" s="52"/>
      <c r="T136" s="52"/>
      <c r="U136" s="52"/>
      <c r="V136" s="52"/>
    </row>
    <row r="137" spans="1:22" x14ac:dyDescent="0.3">
      <c r="A137" s="11">
        <f ca="1">'FALL 3'!A137</f>
        <v>18.096694046407926</v>
      </c>
      <c r="B137" s="11">
        <f ca="1">'FALL 3'!B137</f>
        <v>57.231159567227657</v>
      </c>
      <c r="C137" s="11">
        <f>'FALL 3'!C137</f>
        <v>64</v>
      </c>
      <c r="D137" s="11">
        <f ca="1">IF(C137=0,"",(B137*0.01*(L37-L38)+L38))</f>
        <v>57.086536397340382</v>
      </c>
      <c r="E137" s="11"/>
      <c r="F137" s="11">
        <f ca="1">IF(D137="","",(LN(((LN((D137/(100-D137))))-B50)/B51))*D22)</f>
        <v>32.667580302568503</v>
      </c>
      <c r="G137" s="11">
        <f t="shared" ca="1" si="16"/>
        <v>57.086536397340382</v>
      </c>
      <c r="H137" s="50" t="str">
        <f ca="1">IF(I176=C137,I137,"")</f>
        <v/>
      </c>
      <c r="I137" s="52">
        <f t="shared" ca="1" si="17"/>
        <v>32.700000000000003</v>
      </c>
      <c r="J137" s="52"/>
      <c r="K137" s="52"/>
      <c r="L137" s="52"/>
      <c r="M137" s="52"/>
      <c r="N137" s="52"/>
      <c r="O137" s="52"/>
      <c r="P137" s="52"/>
      <c r="Q137" s="52"/>
      <c r="R137" s="52"/>
      <c r="S137" s="52"/>
      <c r="T137" s="52"/>
      <c r="U137" s="52"/>
      <c r="V137" s="52"/>
    </row>
    <row r="138" spans="1:22" x14ac:dyDescent="0.3">
      <c r="A138" s="11">
        <f ca="1">'FALL 3'!A138</f>
        <v>15.018448098362695</v>
      </c>
      <c r="B138" s="11">
        <f ca="1">'FALL 3'!B138</f>
        <v>57.963653871992953</v>
      </c>
      <c r="C138" s="11">
        <f>'FALL 3'!C138</f>
        <v>65</v>
      </c>
      <c r="D138" s="11">
        <f ca="1">IF(C138=0,"",(B138*0.01*(L37-L38)+L38))</f>
        <v>57.80438081818393</v>
      </c>
      <c r="E138" s="11"/>
      <c r="F138" s="11">
        <f ca="1">IF(D138="","",(LN(((LN((D138/(100-D138))))-B50)/B51))*D22)</f>
        <v>32.808534871979859</v>
      </c>
      <c r="G138" s="11">
        <f t="shared" ref="G138:G173" ca="1" si="18">D138</f>
        <v>57.80438081818393</v>
      </c>
      <c r="H138" s="50" t="str">
        <f ca="1">IF(I176=C138,I138,"")</f>
        <v/>
      </c>
      <c r="I138" s="52">
        <f t="shared" ref="I138:I173" ca="1" si="19">IF(F138="","",ROUND(F138,1))</f>
        <v>32.799999999999997</v>
      </c>
      <c r="J138" s="52"/>
      <c r="K138" s="52"/>
      <c r="L138" s="52"/>
      <c r="M138" s="52"/>
      <c r="N138" s="52"/>
      <c r="O138" s="52"/>
      <c r="P138" s="52"/>
      <c r="Q138" s="52"/>
      <c r="R138" s="52"/>
      <c r="S138" s="52"/>
      <c r="T138" s="52"/>
      <c r="U138" s="52"/>
      <c r="V138" s="52"/>
    </row>
    <row r="139" spans="1:22" x14ac:dyDescent="0.3">
      <c r="A139" s="11">
        <f ca="1">'FALL 3'!A139</f>
        <v>22.363985131911313</v>
      </c>
      <c r="B139" s="11">
        <f ca="1">'FALL 3'!B139</f>
        <v>58.464920340926298</v>
      </c>
      <c r="C139" s="11">
        <f>'FALL 3'!C139</f>
        <v>66</v>
      </c>
      <c r="D139" s="11">
        <f ca="1">IF(C139=0,"",(B139*0.01*(L37-L38)+L38))</f>
        <v>58.295621959226025</v>
      </c>
      <c r="E139" s="11"/>
      <c r="F139" s="11">
        <f ca="1">IF(D139="","",(LN(((LN((D139/(100-D139))))-B50)/B51))*D22)</f>
        <v>32.905134405784523</v>
      </c>
      <c r="G139" s="11">
        <f t="shared" ca="1" si="18"/>
        <v>58.295621959226025</v>
      </c>
      <c r="H139" s="50" t="str">
        <f>IF(176=C139,I139,"")</f>
        <v/>
      </c>
      <c r="I139" s="52">
        <f t="shared" ca="1" si="19"/>
        <v>32.9</v>
      </c>
      <c r="J139" s="52"/>
      <c r="K139" s="52"/>
      <c r="L139" s="52"/>
      <c r="M139" s="52"/>
      <c r="N139" s="52"/>
      <c r="O139" s="52"/>
      <c r="P139" s="52"/>
      <c r="Q139" s="52"/>
      <c r="R139" s="52"/>
      <c r="S139" s="52"/>
      <c r="T139" s="52"/>
      <c r="U139" s="52"/>
      <c r="V139" s="52"/>
    </row>
    <row r="140" spans="1:22" x14ac:dyDescent="0.3">
      <c r="A140" s="11">
        <f ca="1">'FALL 3'!A140</f>
        <v>20.069201538126915</v>
      </c>
      <c r="B140" s="11">
        <f ca="1">'FALL 3'!B140</f>
        <v>61.62027419648895</v>
      </c>
      <c r="C140" s="11">
        <f>'FALL 3'!C140</f>
        <v>67</v>
      </c>
      <c r="D140" s="11">
        <f ca="1">IF(C140=0,"",(B140*0.01*(L37-L38)+L38))</f>
        <v>61.387868747040422</v>
      </c>
      <c r="E140" s="11"/>
      <c r="F140" s="11">
        <f ca="1">IF(D140="","",(LN(((LN((D140/(100-D140))))-B50)/B51))*D22)</f>
        <v>33.517192428386075</v>
      </c>
      <c r="G140" s="11">
        <f t="shared" ca="1" si="18"/>
        <v>61.387868747040422</v>
      </c>
      <c r="H140" s="50" t="str">
        <f ca="1">IF(I176=C140,I140,"")</f>
        <v/>
      </c>
      <c r="I140" s="52">
        <f t="shared" ca="1" si="19"/>
        <v>33.5</v>
      </c>
      <c r="J140" s="52"/>
      <c r="K140" s="52"/>
      <c r="L140" s="52"/>
      <c r="M140" s="52"/>
      <c r="N140" s="52"/>
      <c r="O140" s="52"/>
      <c r="P140" s="52"/>
      <c r="Q140" s="52"/>
      <c r="R140" s="52"/>
      <c r="S140" s="52"/>
      <c r="T140" s="52"/>
      <c r="U140" s="52"/>
      <c r="V140" s="52"/>
    </row>
    <row r="141" spans="1:22" x14ac:dyDescent="0.3">
      <c r="A141" s="11">
        <f ca="1">'FALL 3'!A141</f>
        <v>61.624048016440454</v>
      </c>
      <c r="B141" s="11">
        <f ca="1">'FALL 3'!B141</f>
        <v>61.624048016440454</v>
      </c>
      <c r="C141" s="11">
        <f>'FALL 3'!C141</f>
        <v>68</v>
      </c>
      <c r="D141" s="11">
        <f ca="1">IF(C141=0,"",(B141*0.01*(L37-L38)+L38))</f>
        <v>61.391567090604092</v>
      </c>
      <c r="E141" s="11"/>
      <c r="F141" s="11">
        <f ca="1">IF(D141="","",(LN(((LN((D141/(100-D141))))-B50)/B51))*D22)</f>
        <v>33.517929789494801</v>
      </c>
      <c r="G141" s="11">
        <f t="shared" ca="1" si="18"/>
        <v>61.391567090604092</v>
      </c>
      <c r="H141" s="50" t="str">
        <f ca="1">IF(I176=C141,I141,"")</f>
        <v/>
      </c>
      <c r="I141" s="52">
        <f t="shared" ca="1" si="19"/>
        <v>33.5</v>
      </c>
      <c r="J141" s="52"/>
      <c r="K141" s="52"/>
      <c r="L141" s="52"/>
      <c r="M141" s="52"/>
      <c r="N141" s="52"/>
      <c r="O141" s="52"/>
      <c r="P141" s="52"/>
      <c r="Q141" s="52"/>
      <c r="R141" s="52"/>
      <c r="S141" s="52"/>
      <c r="T141" s="52"/>
      <c r="U141" s="52"/>
      <c r="V141" s="52"/>
    </row>
    <row r="142" spans="1:22" x14ac:dyDescent="0.3">
      <c r="A142" s="11">
        <f ca="1">'FALL 3'!A142</f>
        <v>95.286660752850921</v>
      </c>
      <c r="B142" s="11">
        <f ca="1">'FALL 3'!B142</f>
        <v>61.705597331283826</v>
      </c>
      <c r="C142" s="11">
        <f>'FALL 3'!C142</f>
        <v>69</v>
      </c>
      <c r="D142" s="11">
        <f ca="1">IF(C142=0,"",(B142*0.01*(L37-L38)+L38))</f>
        <v>61.471485419392572</v>
      </c>
      <c r="E142" s="11"/>
      <c r="F142" s="11">
        <f ca="1">IF(D142="","",(LN(((LN((D142/(100-D142))))-B50)/B51))*D22)</f>
        <v>33.533867352714374</v>
      </c>
      <c r="G142" s="11">
        <f t="shared" ca="1" si="18"/>
        <v>61.471485419392572</v>
      </c>
      <c r="H142" s="50" t="str">
        <f ca="1">IF(I176=C142,I142,"")</f>
        <v/>
      </c>
      <c r="I142" s="52">
        <f t="shared" ca="1" si="19"/>
        <v>33.5</v>
      </c>
      <c r="J142" s="52"/>
      <c r="K142" s="52"/>
      <c r="L142" s="52"/>
      <c r="M142" s="52"/>
      <c r="N142" s="52"/>
      <c r="O142" s="52"/>
      <c r="P142" s="52"/>
      <c r="Q142" s="52"/>
      <c r="R142" s="52"/>
      <c r="S142" s="52"/>
      <c r="T142" s="52"/>
      <c r="U142" s="52"/>
      <c r="V142" s="52"/>
    </row>
    <row r="143" spans="1:22" x14ac:dyDescent="0.3">
      <c r="A143" s="11">
        <f ca="1">'FALL 3'!A143</f>
        <v>93.945212033707335</v>
      </c>
      <c r="B143" s="11">
        <f ca="1">'FALL 3'!B143</f>
        <v>61.739216598369225</v>
      </c>
      <c r="C143" s="11">
        <f>'FALL 3'!C143</f>
        <v>70</v>
      </c>
      <c r="D143" s="11">
        <f ca="1">IF(C143=0,"",(B143*0.01*(L37-L38)+L38))</f>
        <v>61.504432301236029</v>
      </c>
      <c r="E143" s="11"/>
      <c r="F143" s="11">
        <f ca="1">IF(D143="","",(LN(((LN((D143/(100-D143))))-B50)/B51))*D22)</f>
        <v>33.540439830596149</v>
      </c>
      <c r="G143" s="11">
        <f t="shared" ca="1" si="18"/>
        <v>61.504432301236029</v>
      </c>
      <c r="H143" s="50" t="str">
        <f ca="1">IF(I176=C143,I143,"")</f>
        <v/>
      </c>
      <c r="I143" s="52">
        <f t="shared" ca="1" si="19"/>
        <v>33.5</v>
      </c>
      <c r="J143" s="52"/>
      <c r="K143" s="52"/>
      <c r="L143" s="52"/>
      <c r="M143" s="52"/>
      <c r="N143" s="52"/>
      <c r="O143" s="52"/>
      <c r="P143" s="52"/>
      <c r="Q143" s="52"/>
      <c r="R143" s="52"/>
      <c r="S143" s="52"/>
      <c r="T143" s="52"/>
      <c r="U143" s="52"/>
      <c r="V143" s="52"/>
    </row>
    <row r="144" spans="1:22" x14ac:dyDescent="0.3">
      <c r="A144" s="11">
        <f ca="1">'FALL 3'!A144</f>
        <v>33.716555255162135</v>
      </c>
      <c r="B144" s="11">
        <f ca="1">'FALL 3'!B144</f>
        <v>64.209943240490091</v>
      </c>
      <c r="C144" s="11">
        <f>'FALL 3'!C144</f>
        <v>71</v>
      </c>
      <c r="D144" s="11">
        <f ca="1">IF(C144=0,"",(B144*0.01*(L37-L38)+L38))</f>
        <v>63.925744417845955</v>
      </c>
      <c r="E144" s="11"/>
      <c r="F144" s="11">
        <f ca="1">IF(D144="","",(LN(((LN((D144/(100-D144))))-B50)/B51))*D22)</f>
        <v>34.027315618250825</v>
      </c>
      <c r="G144" s="11">
        <f t="shared" ca="1" si="18"/>
        <v>63.925744417845955</v>
      </c>
      <c r="H144" s="50" t="str">
        <f ca="1">IF(I176=C144,I144,"")</f>
        <v/>
      </c>
      <c r="I144" s="52">
        <f t="shared" ca="1" si="19"/>
        <v>34</v>
      </c>
      <c r="J144" s="52"/>
      <c r="K144" s="52"/>
      <c r="L144" s="52"/>
      <c r="M144" s="52"/>
      <c r="N144" s="52"/>
      <c r="O144" s="52"/>
      <c r="P144" s="52"/>
      <c r="Q144" s="52"/>
      <c r="R144" s="52"/>
      <c r="S144" s="52"/>
      <c r="T144" s="52"/>
      <c r="U144" s="52"/>
      <c r="V144" s="52"/>
    </row>
    <row r="145" spans="1:22" x14ac:dyDescent="0.3">
      <c r="A145" s="11">
        <f ca="1">'FALL 3'!A145</f>
        <v>75.835971144184526</v>
      </c>
      <c r="B145" s="11">
        <f ca="1">'FALL 3'!B145</f>
        <v>66.060567090885314</v>
      </c>
      <c r="C145" s="11">
        <f>'FALL 3'!C145</f>
        <v>72</v>
      </c>
      <c r="D145" s="11">
        <f ca="1">IF(C145=0,"",(B145*0.01*(L37-L38)+L38))</f>
        <v>65.739355796724681</v>
      </c>
      <c r="E145" s="11"/>
      <c r="F145" s="11">
        <f ca="1">IF(D145="","",(LN(((LN((D145/(100-D145))))-B50)/B51))*D22)</f>
        <v>34.398094746685295</v>
      </c>
      <c r="G145" s="11">
        <f t="shared" ca="1" si="18"/>
        <v>65.739355796724681</v>
      </c>
      <c r="H145" s="50" t="str">
        <f ca="1">IF(I176=C145,I145,"")</f>
        <v/>
      </c>
      <c r="I145" s="52">
        <f t="shared" ca="1" si="19"/>
        <v>34.4</v>
      </c>
      <c r="J145" s="52"/>
      <c r="K145" s="52"/>
      <c r="L145" s="52"/>
      <c r="M145" s="52"/>
      <c r="N145" s="52"/>
      <c r="O145" s="52"/>
      <c r="P145" s="52"/>
      <c r="Q145" s="52"/>
      <c r="R145" s="52"/>
      <c r="S145" s="52"/>
      <c r="T145" s="52"/>
      <c r="U145" s="52"/>
      <c r="V145" s="52"/>
    </row>
    <row r="146" spans="1:22" x14ac:dyDescent="0.3">
      <c r="A146" s="11">
        <f ca="1">'FALL 3'!A146</f>
        <v>34.688641730273304</v>
      </c>
      <c r="B146" s="11">
        <f ca="1">'FALL 3'!B146</f>
        <v>66.653251272831909</v>
      </c>
      <c r="C146" s="11">
        <f>'FALL 3'!C146</f>
        <v>73</v>
      </c>
      <c r="D146" s="11">
        <f ca="1">IF(C146=0,"",(B146*0.01*(L37-L38)+L38))</f>
        <v>66.32018629679105</v>
      </c>
      <c r="E146" s="11"/>
      <c r="F146" s="11">
        <f ca="1">IF(D146="","",(LN(((LN((D146/(100-D146))))-B50)/B51))*D22)</f>
        <v>34.51818860258242</v>
      </c>
      <c r="G146" s="11">
        <f t="shared" ca="1" si="18"/>
        <v>66.32018629679105</v>
      </c>
      <c r="H146" s="50" t="str">
        <f ca="1">IF(I176=C146,I146,"")</f>
        <v/>
      </c>
      <c r="I146" s="52">
        <f t="shared" ca="1" si="19"/>
        <v>34.5</v>
      </c>
      <c r="J146" s="52"/>
      <c r="K146" s="52"/>
      <c r="L146" s="52"/>
      <c r="M146" s="52"/>
      <c r="N146" s="52"/>
      <c r="O146" s="52"/>
      <c r="P146" s="52"/>
      <c r="Q146" s="52"/>
      <c r="R146" s="52"/>
      <c r="S146" s="52"/>
      <c r="T146" s="52"/>
      <c r="U146" s="52"/>
      <c r="V146" s="52"/>
    </row>
    <row r="147" spans="1:22" x14ac:dyDescent="0.3">
      <c r="A147" s="11">
        <f ca="1">'FALL 3'!A147</f>
        <v>19.716125294376258</v>
      </c>
      <c r="B147" s="11">
        <f ca="1">'FALL 3'!B147</f>
        <v>66.829826929516031</v>
      </c>
      <c r="C147" s="11">
        <f>'FALL 3'!C147</f>
        <v>74</v>
      </c>
      <c r="D147" s="11">
        <f ca="1">IF(C147=0,"",(B147*0.01*(L37-L38)+L38))</f>
        <v>66.493230440865446</v>
      </c>
      <c r="E147" s="11"/>
      <c r="F147" s="11">
        <f ca="1">IF(D147="","",(LN(((LN((D147/(100-D147))))-B50)/B51))*D22)</f>
        <v>34.554107033691146</v>
      </c>
      <c r="G147" s="11">
        <f t="shared" ca="1" si="18"/>
        <v>66.493230440865446</v>
      </c>
      <c r="H147" s="50" t="str">
        <f ca="1">IF(I176=C147,I147,"")</f>
        <v/>
      </c>
      <c r="I147" s="52">
        <f t="shared" ca="1" si="19"/>
        <v>34.6</v>
      </c>
      <c r="J147" s="52"/>
      <c r="K147" s="52"/>
      <c r="L147" s="52"/>
      <c r="M147" s="52"/>
      <c r="N147" s="52"/>
      <c r="O147" s="52"/>
      <c r="P147" s="52"/>
      <c r="Q147" s="52"/>
      <c r="R147" s="52"/>
      <c r="S147" s="52"/>
      <c r="T147" s="52"/>
      <c r="U147" s="52"/>
      <c r="V147" s="52"/>
    </row>
    <row r="148" spans="1:22" x14ac:dyDescent="0.3">
      <c r="A148" s="11">
        <f ca="1">'FALL 3'!A148</f>
        <v>10.885530224479504</v>
      </c>
      <c r="B148" s="11">
        <f ca="1">'FALL 3'!B148</f>
        <v>67.554798364905551</v>
      </c>
      <c r="C148" s="11">
        <f>'FALL 3'!C148</f>
        <v>75</v>
      </c>
      <c r="D148" s="11">
        <f ca="1">IF(C148=0,"",(B148*0.01*(L37-L38)+L38))</f>
        <v>67.203702449698397</v>
      </c>
      <c r="E148" s="11"/>
      <c r="F148" s="11">
        <f ca="1">IF(D148="","",(LN(((LN((D148/(100-D148))))-B50)/B51))*D22)</f>
        <v>34.702286810179316</v>
      </c>
      <c r="G148" s="11">
        <f t="shared" ca="1" si="18"/>
        <v>67.203702449698397</v>
      </c>
      <c r="H148" s="50" t="str">
        <f ca="1">IF(I176=C148,I148,"")</f>
        <v/>
      </c>
      <c r="I148" s="52">
        <f t="shared" ca="1" si="19"/>
        <v>34.700000000000003</v>
      </c>
      <c r="J148" s="52"/>
      <c r="K148" s="52"/>
      <c r="L148" s="52"/>
      <c r="M148" s="52"/>
      <c r="N148" s="52"/>
      <c r="O148" s="52"/>
      <c r="P148" s="52"/>
      <c r="Q148" s="52"/>
      <c r="R148" s="52"/>
      <c r="S148" s="52"/>
      <c r="T148" s="52"/>
      <c r="U148" s="52"/>
      <c r="V148" s="52"/>
    </row>
    <row r="149" spans="1:22" x14ac:dyDescent="0.3">
      <c r="A149" s="11">
        <f ca="1">'FALL 3'!A149</f>
        <v>73.350716253599742</v>
      </c>
      <c r="B149" s="11">
        <f ca="1">'FALL 3'!B149</f>
        <v>69.999571086914443</v>
      </c>
      <c r="C149" s="11">
        <f>'FALL 3'!C149</f>
        <v>76</v>
      </c>
      <c r="D149" s="11">
        <f ca="1">IF(C149=0,"",(B149*0.01*(L37-L38)+L38))</f>
        <v>69.599579724521575</v>
      </c>
      <c r="E149" s="11"/>
      <c r="F149" s="11">
        <f ca="1">IF(D149="","",(LN(((LN((D149/(100-D149))))-B50)/B51))*D22)</f>
        <v>35.211451183617108</v>
      </c>
      <c r="G149" s="11">
        <f t="shared" ca="1" si="18"/>
        <v>69.599579724521575</v>
      </c>
      <c r="H149" s="50" t="str">
        <f ca="1">IF(I176=C149,I149,"")</f>
        <v/>
      </c>
      <c r="I149" s="52">
        <f t="shared" ca="1" si="19"/>
        <v>35.200000000000003</v>
      </c>
      <c r="J149" s="52"/>
      <c r="K149" s="52"/>
      <c r="L149" s="52"/>
      <c r="M149" s="52"/>
      <c r="N149" s="52"/>
      <c r="O149" s="52"/>
      <c r="P149" s="52"/>
      <c r="Q149" s="52"/>
      <c r="R149" s="52"/>
      <c r="S149" s="52"/>
      <c r="T149" s="52"/>
      <c r="U149" s="52"/>
      <c r="V149" s="52"/>
    </row>
    <row r="150" spans="1:22" x14ac:dyDescent="0.3">
      <c r="A150" s="11">
        <f ca="1">'FALL 3'!A150</f>
        <v>61.739216598369225</v>
      </c>
      <c r="B150" s="11">
        <f ca="1">'FALL 3'!B150</f>
        <v>70.170321861690041</v>
      </c>
      <c r="C150" s="11">
        <f>'FALL 3'!C150</f>
        <v>77</v>
      </c>
      <c r="D150" s="11">
        <f ca="1">IF(C150=0,"",(B150*0.01*(L37-L38)+L38))</f>
        <v>69.766915484308342</v>
      </c>
      <c r="E150" s="11"/>
      <c r="F150" s="11">
        <f ca="1">IF(D150="","",(LN(((LN((D150/(100-D150))))-B50)/B51))*D22)</f>
        <v>35.247623812349289</v>
      </c>
      <c r="G150" s="11">
        <f t="shared" ca="1" si="18"/>
        <v>69.766915484308342</v>
      </c>
      <c r="H150" s="50" t="str">
        <f ca="1">IF(I176=C150,I150,"")</f>
        <v/>
      </c>
      <c r="I150" s="52">
        <f t="shared" ca="1" si="19"/>
        <v>35.200000000000003</v>
      </c>
      <c r="J150" s="52"/>
      <c r="K150" s="52"/>
      <c r="L150" s="52"/>
      <c r="M150" s="52"/>
      <c r="N150" s="52"/>
      <c r="O150" s="52"/>
      <c r="P150" s="52"/>
      <c r="Q150" s="52"/>
      <c r="R150" s="52"/>
      <c r="S150" s="52"/>
      <c r="T150" s="52"/>
      <c r="U150" s="52"/>
      <c r="V150" s="52"/>
    </row>
    <row r="151" spans="1:22" x14ac:dyDescent="0.3">
      <c r="A151" s="11">
        <f ca="1">'FALL 3'!A151</f>
        <v>96.792694727048797</v>
      </c>
      <c r="B151" s="11">
        <f ca="1">'FALL 3'!B151</f>
        <v>70.917425780520034</v>
      </c>
      <c r="C151" s="11">
        <f>'FALL 3'!C151</f>
        <v>78</v>
      </c>
      <c r="D151" s="11">
        <f ca="1">IF(C151=0,"",(B151*0.01*(L37-L38)+L38))</f>
        <v>70.499077326978636</v>
      </c>
      <c r="E151" s="11"/>
      <c r="F151" s="11">
        <f ca="1">IF(D151="","",(LN(((LN((D151/(100-D151))))-B50)/B51))*D22)</f>
        <v>35.406940709511325</v>
      </c>
      <c r="G151" s="11">
        <f t="shared" ca="1" si="18"/>
        <v>70.499077326978636</v>
      </c>
      <c r="H151" s="50" t="str">
        <f ca="1">IF(I176=C151,I151,"")</f>
        <v/>
      </c>
      <c r="I151" s="52">
        <f t="shared" ca="1" si="19"/>
        <v>35.4</v>
      </c>
      <c r="J151" s="52"/>
      <c r="K151" s="52"/>
      <c r="L151" s="52"/>
      <c r="M151" s="52"/>
      <c r="N151" s="52"/>
      <c r="O151" s="52"/>
      <c r="P151" s="52"/>
      <c r="Q151" s="52"/>
      <c r="R151" s="52"/>
      <c r="S151" s="52"/>
      <c r="T151" s="52"/>
      <c r="U151" s="52"/>
      <c r="V151" s="52"/>
    </row>
    <row r="152" spans="1:22" x14ac:dyDescent="0.3">
      <c r="A152" s="11">
        <f ca="1">'FALL 3'!A152</f>
        <v>75.880495810393597</v>
      </c>
      <c r="B152" s="11">
        <f ca="1">'FALL 3'!B152</f>
        <v>73.350716253599742</v>
      </c>
      <c r="C152" s="11">
        <f>'FALL 3'!C152</f>
        <v>79</v>
      </c>
      <c r="D152" s="11">
        <f ca="1">IF(C152=0,"",(B152*0.01*(L37-L38)+L38))</f>
        <v>72.883701997817141</v>
      </c>
      <c r="E152" s="11"/>
      <c r="F152" s="11">
        <f ca="1">IF(D152="","",(LN(((LN((D152/(100-D152))))-B50)/B51))*D22)</f>
        <v>35.939021862900638</v>
      </c>
      <c r="G152" s="11">
        <f t="shared" ca="1" si="18"/>
        <v>72.883701997817141</v>
      </c>
      <c r="H152" s="50" t="str">
        <f ca="1">IF(I176=C152,I152,"")</f>
        <v/>
      </c>
      <c r="I152" s="52">
        <f t="shared" ca="1" si="19"/>
        <v>35.9</v>
      </c>
      <c r="J152" s="52"/>
      <c r="K152" s="52"/>
      <c r="L152" s="52"/>
      <c r="M152" s="52"/>
      <c r="N152" s="52"/>
      <c r="O152" s="52"/>
      <c r="P152" s="52"/>
      <c r="Q152" s="52"/>
      <c r="R152" s="52"/>
      <c r="S152" s="52"/>
      <c r="T152" s="52"/>
      <c r="U152" s="52"/>
      <c r="V152" s="52"/>
    </row>
    <row r="153" spans="1:22" x14ac:dyDescent="0.3">
      <c r="A153" s="11">
        <f ca="1">'FALL 3'!A153</f>
        <v>89.472758160042972</v>
      </c>
      <c r="B153" s="11">
        <f ca="1">'FALL 3'!B153</f>
        <v>75.343875189459823</v>
      </c>
      <c r="C153" s="11">
        <f>'FALL 3'!C153</f>
        <v>80</v>
      </c>
      <c r="D153" s="11">
        <f ca="1">IF(C153=0,"",(B153*0.01*(L37-L38)+L38))</f>
        <v>74.836997760874382</v>
      </c>
      <c r="E153" s="11"/>
      <c r="F153" s="11">
        <f ca="1">IF(D153="","",(LN(((LN((D153/(100-D153))))-B50)/B51))*D22)</f>
        <v>36.392629561645357</v>
      </c>
      <c r="G153" s="11">
        <f t="shared" ca="1" si="18"/>
        <v>74.836997760874382</v>
      </c>
      <c r="H153" s="50" t="str">
        <f ca="1">IF(I176=C153,I153,"")</f>
        <v/>
      </c>
      <c r="I153" s="52">
        <f t="shared" ca="1" si="19"/>
        <v>36.4</v>
      </c>
      <c r="J153" s="52"/>
      <c r="K153" s="52"/>
      <c r="L153" s="52"/>
      <c r="M153" s="52"/>
      <c r="N153" s="52"/>
      <c r="O153" s="52"/>
      <c r="P153" s="52"/>
      <c r="Q153" s="52"/>
      <c r="R153" s="52"/>
      <c r="S153" s="52"/>
      <c r="T153" s="52"/>
      <c r="U153" s="52"/>
      <c r="V153" s="52"/>
    </row>
    <row r="154" spans="1:22" x14ac:dyDescent="0.3">
      <c r="A154" s="11">
        <f ca="1">'FALL 3'!A154</f>
        <v>30.392788314351847</v>
      </c>
      <c r="B154" s="11">
        <f ca="1">'FALL 3'!B154</f>
        <v>75.433313687716009</v>
      </c>
      <c r="C154" s="11">
        <f>'FALL 3'!C154</f>
        <v>81</v>
      </c>
      <c r="D154" s="11">
        <f ca="1">IF(C154=0,"",(B154*0.01*(L37-L38)+L38))</f>
        <v>74.924647489430839</v>
      </c>
      <c r="E154" s="11"/>
      <c r="F154" s="11">
        <f ca="1">IF(D154="","",(LN(((LN((D154/(100-D154))))-B50)/B51))*D22)</f>
        <v>36.413416172194175</v>
      </c>
      <c r="G154" s="11">
        <f t="shared" ca="1" si="18"/>
        <v>74.924647489430839</v>
      </c>
      <c r="H154" s="50" t="str">
        <f ca="1">IF(I176=C154,I154,"")</f>
        <v/>
      </c>
      <c r="I154" s="52">
        <f t="shared" ca="1" si="19"/>
        <v>36.4</v>
      </c>
      <c r="J154" s="52"/>
      <c r="K154" s="52"/>
      <c r="L154" s="52"/>
      <c r="M154" s="52"/>
      <c r="N154" s="52"/>
      <c r="O154" s="52"/>
      <c r="P154" s="52"/>
      <c r="Q154" s="52"/>
      <c r="R154" s="52"/>
      <c r="S154" s="52"/>
      <c r="T154" s="52"/>
      <c r="U154" s="52"/>
      <c r="V154" s="52"/>
    </row>
    <row r="155" spans="1:22" x14ac:dyDescent="0.3">
      <c r="A155" s="11">
        <f ca="1">'FALL 3'!A155</f>
        <v>9.2836085325027931</v>
      </c>
      <c r="B155" s="11">
        <f ca="1">'FALL 3'!B155</f>
        <v>75.576022612968487</v>
      </c>
      <c r="C155" s="11">
        <f>'FALL 3'!C155</f>
        <v>82</v>
      </c>
      <c r="D155" s="11">
        <f ca="1">IF(C155=0,"",(B155*0.01*(L37-L38)+L38))</f>
        <v>75.064502236601726</v>
      </c>
      <c r="E155" s="11"/>
      <c r="F155" s="11">
        <f ca="1">IF(D155="","",(LN(((LN((D155/(100-D155))))-B50)/B51))*D22)</f>
        <v>36.446665900580044</v>
      </c>
      <c r="G155" s="11">
        <f t="shared" ca="1" si="18"/>
        <v>75.064502236601726</v>
      </c>
      <c r="H155" s="50" t="str">
        <f ca="1">IF(I176=C155,I155,"")</f>
        <v/>
      </c>
      <c r="I155" s="52">
        <f t="shared" ca="1" si="19"/>
        <v>36.4</v>
      </c>
      <c r="J155" s="52"/>
      <c r="K155" s="52"/>
      <c r="L155" s="52"/>
      <c r="M155" s="52"/>
      <c r="N155" s="52"/>
      <c r="O155" s="52"/>
      <c r="P155" s="52"/>
      <c r="Q155" s="52"/>
      <c r="R155" s="52"/>
      <c r="S155" s="52"/>
      <c r="T155" s="52"/>
      <c r="U155" s="52"/>
      <c r="V155" s="52"/>
    </row>
    <row r="156" spans="1:22" x14ac:dyDescent="0.3">
      <c r="A156" s="11">
        <f ca="1">'FALL 3'!A156</f>
        <v>50.172602681297342</v>
      </c>
      <c r="B156" s="11">
        <f ca="1">'FALL 3'!B156</f>
        <v>75.835971144184526</v>
      </c>
      <c r="C156" s="11">
        <f>'FALL 3'!C156</f>
        <v>83</v>
      </c>
      <c r="D156" s="11">
        <f ca="1">IF(C156=0,"",(B156*0.01*(L37-L38)+L38))</f>
        <v>75.31925179796481</v>
      </c>
      <c r="E156" s="11"/>
      <c r="F156" s="11">
        <f ca="1">IF(D156="","",(LN(((LN((D156/(100-D156))))-B50)/B51))*D22)</f>
        <v>36.507495797829058</v>
      </c>
      <c r="G156" s="11">
        <f t="shared" ca="1" si="18"/>
        <v>75.31925179796481</v>
      </c>
      <c r="H156" s="50" t="str">
        <f ca="1">IF(I176=C156,I156,"")</f>
        <v/>
      </c>
      <c r="I156" s="52">
        <f t="shared" ca="1" si="19"/>
        <v>36.5</v>
      </c>
      <c r="J156" s="52"/>
      <c r="K156" s="52"/>
      <c r="L156" s="52"/>
      <c r="M156" s="52"/>
      <c r="N156" s="52"/>
      <c r="O156" s="52"/>
      <c r="P156" s="52"/>
      <c r="Q156" s="52"/>
      <c r="R156" s="52"/>
      <c r="S156" s="52"/>
      <c r="T156" s="52"/>
      <c r="U156" s="52"/>
      <c r="V156" s="52"/>
    </row>
    <row r="157" spans="1:22" x14ac:dyDescent="0.3">
      <c r="A157" s="11">
        <f ca="1">'FALL 3'!A157</f>
        <v>66.653251272831909</v>
      </c>
      <c r="B157" s="11">
        <f ca="1">'FALL 3'!B157</f>
        <v>75.880495810393597</v>
      </c>
      <c r="C157" s="11">
        <f>'FALL 3'!C157</f>
        <v>84</v>
      </c>
      <c r="D157" s="11">
        <f ca="1">IF(C157=0,"",(B157*0.01*(L37-L38)+L38))</f>
        <v>75.362885970981822</v>
      </c>
      <c r="E157" s="11"/>
      <c r="F157" s="11">
        <f ca="1">IF(D157="","",(LN(((LN((D157/(100-D157))))-B50)/B51))*D22)</f>
        <v>36.517949659649965</v>
      </c>
      <c r="G157" s="11">
        <f t="shared" ca="1" si="18"/>
        <v>75.362885970981822</v>
      </c>
      <c r="H157" s="50" t="str">
        <f ca="1">IF(I176=C157,I157,"")</f>
        <v/>
      </c>
      <c r="I157" s="52">
        <f t="shared" ca="1" si="19"/>
        <v>36.5</v>
      </c>
      <c r="J157" s="52"/>
      <c r="K157" s="52"/>
      <c r="L157" s="52"/>
      <c r="M157" s="52"/>
      <c r="N157" s="52"/>
      <c r="O157" s="52"/>
      <c r="P157" s="52"/>
      <c r="Q157" s="52"/>
      <c r="R157" s="52"/>
      <c r="S157" s="52"/>
      <c r="T157" s="52"/>
      <c r="U157" s="52"/>
      <c r="V157" s="52"/>
    </row>
    <row r="158" spans="1:22" x14ac:dyDescent="0.3">
      <c r="A158" s="11">
        <f ca="1">'FALL 3'!A158</f>
        <v>82.127885467203029</v>
      </c>
      <c r="B158" s="11">
        <f ca="1">'FALL 3'!B158</f>
        <v>77.294214300749587</v>
      </c>
      <c r="C158" s="11">
        <f>'FALL 3'!C158</f>
        <v>85</v>
      </c>
      <c r="D158" s="11">
        <f ca="1">IF(C158=0,"",(B158*0.01*(L37-L38)+L38))</f>
        <v>76.748330095725663</v>
      </c>
      <c r="E158" s="11"/>
      <c r="F158" s="11">
        <f ca="1">IF(D158="","",(LN(((LN((D158/(100-D158))))-B50)/B51))*D22)</f>
        <v>36.855464545993947</v>
      </c>
      <c r="G158" s="11">
        <f t="shared" ca="1" si="18"/>
        <v>76.748330095725663</v>
      </c>
      <c r="H158" s="50" t="str">
        <f ca="1">IF(I176=C158,I158,"")</f>
        <v/>
      </c>
      <c r="I158" s="52">
        <f t="shared" ca="1" si="19"/>
        <v>36.9</v>
      </c>
      <c r="J158" s="52"/>
      <c r="K158" s="52"/>
      <c r="L158" s="52"/>
      <c r="M158" s="52"/>
      <c r="N158" s="52"/>
      <c r="O158" s="52"/>
      <c r="P158" s="52"/>
      <c r="Q158" s="52"/>
      <c r="R158" s="52"/>
      <c r="S158" s="52"/>
      <c r="T158" s="52"/>
      <c r="U158" s="52"/>
      <c r="V158" s="52"/>
    </row>
    <row r="159" spans="1:22" x14ac:dyDescent="0.3">
      <c r="A159" s="11">
        <f ca="1">'FALL 3'!A159</f>
        <v>92.069005416099401</v>
      </c>
      <c r="B159" s="11">
        <f ca="1">'FALL 3'!B159</f>
        <v>78.113730407507262</v>
      </c>
      <c r="C159" s="11">
        <f>'FALL 3'!C159</f>
        <v>86</v>
      </c>
      <c r="D159" s="11">
        <f ca="1">IF(C159=0,"",(B159*0.01*(L37-L38)+L38))</f>
        <v>77.551455882779962</v>
      </c>
      <c r="E159" s="11"/>
      <c r="F159" s="11">
        <f ca="1">IF(D159="","",(LN(((LN((D159/(100-D159))))-B50)/B51))*D22)</f>
        <v>37.056466874899741</v>
      </c>
      <c r="G159" s="11">
        <f t="shared" ca="1" si="18"/>
        <v>77.551455882779962</v>
      </c>
      <c r="H159" s="50" t="str">
        <f ca="1">IF(I176=C159,I159,"")</f>
        <v/>
      </c>
      <c r="I159" s="52">
        <f t="shared" ca="1" si="19"/>
        <v>37.1</v>
      </c>
      <c r="J159" s="52"/>
      <c r="K159" s="52"/>
      <c r="L159" s="52"/>
      <c r="M159" s="52"/>
      <c r="N159" s="52"/>
      <c r="O159" s="52"/>
      <c r="P159" s="52"/>
      <c r="Q159" s="52"/>
      <c r="R159" s="52"/>
      <c r="S159" s="52"/>
      <c r="T159" s="52"/>
      <c r="U159" s="52"/>
      <c r="V159" s="52"/>
    </row>
    <row r="160" spans="1:22" x14ac:dyDescent="0.3">
      <c r="A160" s="11">
        <f ca="1">'FALL 3'!A160</f>
        <v>3.6249997631134772</v>
      </c>
      <c r="B160" s="11">
        <f ca="1">'FALL 3'!B160</f>
        <v>79.584477650595773</v>
      </c>
      <c r="C160" s="11">
        <f>'FALL 3'!C160</f>
        <v>87</v>
      </c>
      <c r="D160" s="11">
        <f ca="1">IF(C160=0,"",(B160*0.01*(L37-L38)+L38))</f>
        <v>78.992788185370912</v>
      </c>
      <c r="E160" s="11"/>
      <c r="F160" s="11">
        <f ca="1">IF(D160="","",(LN(((LN((D160/(100-D160))))-B50)/B51))*D22)</f>
        <v>37.428330875945477</v>
      </c>
      <c r="G160" s="11">
        <f t="shared" ca="1" si="18"/>
        <v>78.992788185370912</v>
      </c>
      <c r="H160" s="50" t="str">
        <f ca="1">IF(I176=C160,I160,"")</f>
        <v/>
      </c>
      <c r="I160" s="52">
        <f t="shared" ca="1" si="19"/>
        <v>37.4</v>
      </c>
      <c r="J160" s="52"/>
      <c r="K160" s="52"/>
      <c r="L160" s="52"/>
      <c r="M160" s="52"/>
      <c r="N160" s="52"/>
      <c r="O160" s="52"/>
      <c r="P160" s="52"/>
      <c r="Q160" s="52"/>
      <c r="R160" s="52"/>
      <c r="S160" s="52"/>
      <c r="T160" s="52"/>
      <c r="U160" s="52"/>
      <c r="V160" s="52"/>
    </row>
    <row r="161" spans="1:22" x14ac:dyDescent="0.3">
      <c r="A161" s="11">
        <f ca="1">'FALL 3'!A161</f>
        <v>20.477118628301223</v>
      </c>
      <c r="B161" s="11">
        <f ca="1">'FALL 3'!B161</f>
        <v>82.127885467203029</v>
      </c>
      <c r="C161" s="11">
        <f>'FALL 3'!C161</f>
        <v>88</v>
      </c>
      <c r="D161" s="11">
        <f ca="1">IF(C161=0,"",(B161*0.01*(L37-L38)+L38))</f>
        <v>81.485327853193155</v>
      </c>
      <c r="E161" s="11"/>
      <c r="F161" s="11">
        <f ca="1">IF(D161="","",(LN(((LN((D161/(100-D161))))-B50)/B51))*D22)</f>
        <v>38.111379525132897</v>
      </c>
      <c r="G161" s="11">
        <f t="shared" ca="1" si="18"/>
        <v>81.485327853193155</v>
      </c>
      <c r="H161" s="50" t="str">
        <f ca="1">IF(I176=C161,I161,"")</f>
        <v/>
      </c>
      <c r="I161" s="52">
        <f t="shared" ca="1" si="19"/>
        <v>38.1</v>
      </c>
      <c r="J161" s="52"/>
      <c r="K161" s="52"/>
      <c r="L161" s="52"/>
      <c r="M161" s="52"/>
      <c r="N161" s="52"/>
      <c r="O161" s="52"/>
      <c r="P161" s="52"/>
      <c r="Q161" s="52"/>
      <c r="R161" s="52"/>
      <c r="S161" s="52"/>
      <c r="T161" s="52"/>
      <c r="U161" s="52"/>
      <c r="V161" s="52"/>
    </row>
    <row r="162" spans="1:22" x14ac:dyDescent="0.3">
      <c r="A162" s="11">
        <f ca="1">'FALL 3'!A162</f>
        <v>30.123378148520377</v>
      </c>
      <c r="B162" s="11">
        <f ca="1">'FALL 3'!B162</f>
        <v>82.170865037115789</v>
      </c>
      <c r="C162" s="11">
        <f>'FALL 3'!C162</f>
        <v>89</v>
      </c>
      <c r="D162" s="11">
        <f ca="1">IF(C162=0,"",(B162*0.01*(L37-L38)+L38))</f>
        <v>81.527447831835204</v>
      </c>
      <c r="E162" s="11"/>
      <c r="F162" s="11">
        <f ca="1">IF(D162="","",(LN(((LN((D162/(100-D162))))-B50)/B51))*D22)</f>
        <v>38.123424136217764</v>
      </c>
      <c r="G162" s="11">
        <f t="shared" ca="1" si="18"/>
        <v>81.527447831835204</v>
      </c>
      <c r="H162" s="50" t="str">
        <f ca="1">IF(I176=C162,I162,"")</f>
        <v/>
      </c>
      <c r="I162" s="52">
        <f t="shared" ca="1" si="19"/>
        <v>38.1</v>
      </c>
      <c r="J162" s="52"/>
      <c r="K162" s="52"/>
      <c r="L162" s="52"/>
      <c r="M162" s="52"/>
      <c r="N162" s="52"/>
      <c r="O162" s="52"/>
      <c r="P162" s="52"/>
      <c r="Q162" s="52"/>
      <c r="R162" s="52"/>
      <c r="S162" s="52"/>
      <c r="T162" s="52"/>
      <c r="U162" s="52"/>
      <c r="V162" s="52"/>
    </row>
    <row r="163" spans="1:22" x14ac:dyDescent="0.3">
      <c r="A163" s="11">
        <f ca="1">'FALL 3'!A163</f>
        <v>98.068589609092214</v>
      </c>
      <c r="B163" s="11">
        <f ca="1">'FALL 3'!B163</f>
        <v>82.652071906329411</v>
      </c>
      <c r="C163" s="11">
        <f>'FALL 3'!C163</f>
        <v>90</v>
      </c>
      <c r="D163" s="11">
        <f ca="1">IF(C163=0,"",(B163*0.01*(L37-L38)+L38))</f>
        <v>81.999030565092454</v>
      </c>
      <c r="E163" s="11"/>
      <c r="F163" s="11">
        <f ca="1">IF(D163="","",(LN(((LN((D163/(100-D163))))-B50)/B51))*D22)</f>
        <v>38.259551787884149</v>
      </c>
      <c r="G163" s="11">
        <f t="shared" ca="1" si="18"/>
        <v>81.999030565092454</v>
      </c>
      <c r="H163" s="50" t="str">
        <f ca="1">IF(I176=C163,I163,"")</f>
        <v/>
      </c>
      <c r="I163" s="52">
        <f t="shared" ca="1" si="19"/>
        <v>38.299999999999997</v>
      </c>
      <c r="J163" s="52"/>
      <c r="K163" s="52"/>
      <c r="L163" s="52"/>
      <c r="M163" s="52"/>
      <c r="N163" s="52"/>
      <c r="O163" s="52"/>
      <c r="P163" s="52"/>
      <c r="Q163" s="52"/>
      <c r="R163" s="52"/>
      <c r="S163" s="52"/>
      <c r="T163" s="52"/>
      <c r="U163" s="52"/>
      <c r="V163" s="52"/>
    </row>
    <row r="164" spans="1:22" x14ac:dyDescent="0.3">
      <c r="A164" s="11">
        <f ca="1">'FALL 3'!A164</f>
        <v>26.935136806361843</v>
      </c>
      <c r="B164" s="11">
        <f ca="1">'FALL 3'!B164</f>
        <v>82.996098998149179</v>
      </c>
      <c r="C164" s="11">
        <f>'FALL 3'!C164</f>
        <v>91</v>
      </c>
      <c r="D164" s="11">
        <f ca="1">IF(C164=0,"",(B164*0.01*(L37-L38)+L38))</f>
        <v>82.336177116096664</v>
      </c>
      <c r="E164" s="11"/>
      <c r="F164" s="11">
        <f ca="1">IF(D164="","",(LN(((LN((D164/(100-D164))))-B50)/B51))*D22)</f>
        <v>38.358355473033328</v>
      </c>
      <c r="G164" s="11">
        <f t="shared" ca="1" si="18"/>
        <v>82.336177116096664</v>
      </c>
      <c r="H164" s="50" t="str">
        <f ca="1">IF(I176=C164,I164,"")</f>
        <v/>
      </c>
      <c r="I164" s="52">
        <f t="shared" ca="1" si="19"/>
        <v>38.4</v>
      </c>
      <c r="J164" s="52"/>
      <c r="K164" s="52"/>
      <c r="L164" s="52"/>
      <c r="M164" s="52"/>
      <c r="N164" s="52"/>
      <c r="O164" s="52"/>
      <c r="P164" s="52"/>
      <c r="Q164" s="52"/>
      <c r="R164" s="52"/>
      <c r="S164" s="52"/>
      <c r="T164" s="52"/>
      <c r="U164" s="52"/>
      <c r="V164" s="52"/>
    </row>
    <row r="165" spans="1:22" x14ac:dyDescent="0.3">
      <c r="A165" s="11">
        <f ca="1">'FALL 3'!A165</f>
        <v>4.3786339455653129</v>
      </c>
      <c r="B165" s="11">
        <f ca="1">'FALL 3'!B165</f>
        <v>88.960234235886745</v>
      </c>
      <c r="C165" s="11">
        <f>'FALL 3'!C165</f>
        <v>92</v>
      </c>
      <c r="D165" s="11">
        <f ca="1">IF(C165=0,"",(B165*0.01*(L37-L38)+L38))</f>
        <v>88.181029666777064</v>
      </c>
      <c r="E165" s="11"/>
      <c r="F165" s="11">
        <f ca="1">IF(D165="","",(LN(((LN((D165/(100-D165))))-B50)/B51))*D22)</f>
        <v>40.336542226477064</v>
      </c>
      <c r="G165" s="11">
        <f t="shared" ca="1" si="18"/>
        <v>88.181029666777064</v>
      </c>
      <c r="H165" s="50" t="str">
        <f ca="1">IF(I176=C165,I165,"")</f>
        <v/>
      </c>
      <c r="I165" s="52">
        <f t="shared" ca="1" si="19"/>
        <v>40.299999999999997</v>
      </c>
      <c r="J165" s="52"/>
      <c r="K165" s="52"/>
      <c r="L165" s="52"/>
      <c r="M165" s="52"/>
      <c r="N165" s="52"/>
      <c r="O165" s="52"/>
      <c r="P165" s="52"/>
      <c r="Q165" s="52"/>
      <c r="R165" s="52"/>
      <c r="S165" s="52"/>
      <c r="T165" s="52"/>
      <c r="U165" s="52"/>
      <c r="V165" s="52"/>
    </row>
    <row r="166" spans="1:22" x14ac:dyDescent="0.3">
      <c r="A166" s="11">
        <f ca="1">'FALL 3'!A166</f>
        <v>79.584477650595773</v>
      </c>
      <c r="B166" s="11">
        <f ca="1">'FALL 3'!B166</f>
        <v>89.472758160042972</v>
      </c>
      <c r="C166" s="11">
        <f>'FALL 3'!C166</f>
        <v>93</v>
      </c>
      <c r="D166" s="11">
        <f ca="1">IF(C166=0,"",(B166*0.01*(L37-L38)+L38))</f>
        <v>88.683303113971007</v>
      </c>
      <c r="E166" s="11"/>
      <c r="F166" s="11">
        <f ca="1">IF(D166="","",(LN(((LN((D166/(100-D166))))-B50)/B51))*D22)</f>
        <v>40.538612858452275</v>
      </c>
      <c r="G166" s="11">
        <f t="shared" ca="1" si="18"/>
        <v>88.683303113971007</v>
      </c>
      <c r="H166" s="50" t="str">
        <f ca="1">IF(I176=C166,I166,"")</f>
        <v/>
      </c>
      <c r="I166" s="52">
        <f t="shared" ca="1" si="19"/>
        <v>40.5</v>
      </c>
      <c r="J166" s="52"/>
      <c r="K166" s="52"/>
      <c r="L166" s="52"/>
      <c r="M166" s="52"/>
      <c r="N166" s="52"/>
      <c r="O166" s="52"/>
      <c r="P166" s="52"/>
      <c r="Q166" s="52"/>
      <c r="R166" s="52"/>
      <c r="S166" s="52"/>
      <c r="T166" s="52"/>
      <c r="U166" s="52"/>
      <c r="V166" s="52"/>
    </row>
    <row r="167" spans="1:22" x14ac:dyDescent="0.3">
      <c r="A167" s="11">
        <f ca="1">'FALL 3'!A167</f>
        <v>45.645021212545792</v>
      </c>
      <c r="B167" s="11">
        <f ca="1">'FALL 3'!B167</f>
        <v>91.754603360121138</v>
      </c>
      <c r="C167" s="11">
        <f>'FALL 3'!C167</f>
        <v>94</v>
      </c>
      <c r="D167" s="11">
        <f ca="1">IF(C167=0,"",(B167*0.01*(L37-L38)+L38))</f>
        <v>90.919511416818594</v>
      </c>
      <c r="E167" s="11"/>
      <c r="F167" s="11">
        <f ca="1">IF(D167="","",(LN(((LN((D167/(100-D167))))-B50)/B51))*D22)</f>
        <v>41.534970818785851</v>
      </c>
      <c r="G167" s="11">
        <f t="shared" ca="1" si="18"/>
        <v>90.919511416818594</v>
      </c>
      <c r="H167" s="50" t="str">
        <f ca="1">IF(I176=C167,I167,"")</f>
        <v/>
      </c>
      <c r="I167" s="52">
        <f t="shared" ca="1" si="19"/>
        <v>41.5</v>
      </c>
      <c r="J167" s="52"/>
      <c r="K167" s="52"/>
      <c r="L167" s="52"/>
      <c r="M167" s="52"/>
      <c r="N167" s="52"/>
      <c r="O167" s="52"/>
      <c r="P167" s="52"/>
      <c r="Q167" s="52"/>
      <c r="R167" s="52"/>
      <c r="S167" s="52"/>
      <c r="T167" s="52"/>
      <c r="U167" s="52"/>
      <c r="V167" s="52"/>
    </row>
    <row r="168" spans="1:22" x14ac:dyDescent="0.3">
      <c r="A168" s="11">
        <f ca="1">'FALL 3'!A168</f>
        <v>45.096774778301601</v>
      </c>
      <c r="B168" s="11">
        <f ca="1">'FALL 3'!B168</f>
        <v>92.069005416099401</v>
      </c>
      <c r="C168" s="11">
        <f>'FALL 3'!C168</f>
        <v>95</v>
      </c>
      <c r="D168" s="11">
        <f ca="1">IF(C168=0,"",(B168*0.01*(L37-L38)+L38))</f>
        <v>91.227625432610239</v>
      </c>
      <c r="E168" s="11"/>
      <c r="F168" s="11">
        <f ca="1">IF(D168="","",(LN(((LN((D168/(100-D168))))-B50)/B51))*D22)</f>
        <v>41.687324149635359</v>
      </c>
      <c r="G168" s="11">
        <f t="shared" ca="1" si="18"/>
        <v>91.227625432610239</v>
      </c>
      <c r="H168" s="50" t="str">
        <f ca="1">IF(I176=C168,I168,"")</f>
        <v/>
      </c>
      <c r="I168" s="52">
        <f t="shared" ca="1" si="19"/>
        <v>41.7</v>
      </c>
      <c r="J168" s="52"/>
      <c r="K168" s="52"/>
      <c r="L168" s="52"/>
      <c r="M168" s="52"/>
      <c r="N168" s="52"/>
      <c r="O168" s="52"/>
      <c r="P168" s="52"/>
      <c r="Q168" s="52"/>
      <c r="R168" s="52"/>
      <c r="S168" s="52"/>
      <c r="T168" s="52"/>
      <c r="U168" s="52"/>
      <c r="V168" s="52"/>
    </row>
    <row r="169" spans="1:22" x14ac:dyDescent="0.3">
      <c r="A169" s="11">
        <f ca="1">'FALL 3'!A169</f>
        <v>70.917425780520034</v>
      </c>
      <c r="B169" s="11">
        <f ca="1">'FALL 3'!B169</f>
        <v>93.945212033707335</v>
      </c>
      <c r="C169" s="11">
        <f>'FALL 3'!C169</f>
        <v>96</v>
      </c>
      <c r="D169" s="11">
        <f ca="1">IF(C169=0,"",(B169*0.01*(L37-L38)+L38))</f>
        <v>93.066307923433342</v>
      </c>
      <c r="E169" s="11"/>
      <c r="F169" s="11">
        <f ca="1">IF(D169="","",(LN(((LN((D169/(100-D169))))-B50)/B51))*D22)</f>
        <v>42.701069113002774</v>
      </c>
      <c r="G169" s="11">
        <f t="shared" ca="1" si="18"/>
        <v>93.066307923433342</v>
      </c>
      <c r="H169" s="50" t="str">
        <f ca="1">IF(I176=C169,I169,"")</f>
        <v/>
      </c>
      <c r="I169" s="52">
        <f t="shared" ca="1" si="19"/>
        <v>42.7</v>
      </c>
      <c r="J169" s="52"/>
      <c r="K169" s="52"/>
      <c r="L169" s="52"/>
      <c r="M169" s="52"/>
      <c r="N169" s="52"/>
      <c r="O169" s="52"/>
      <c r="P169" s="52"/>
      <c r="Q169" s="52"/>
      <c r="R169" s="52"/>
      <c r="S169" s="52"/>
      <c r="T169" s="52"/>
      <c r="U169" s="52"/>
      <c r="V169" s="52"/>
    </row>
    <row r="170" spans="1:22" x14ac:dyDescent="0.3">
      <c r="A170" s="11">
        <f ca="1">'FALL 3'!A170</f>
        <v>91.754603360121138</v>
      </c>
      <c r="B170" s="11">
        <f ca="1">'FALL 3'!B170</f>
        <v>95.286660752850921</v>
      </c>
      <c r="C170" s="11">
        <f>'FALL 3'!C170</f>
        <v>97</v>
      </c>
      <c r="D170" s="11">
        <f ca="1">IF(C170=0,"",(B170*0.01*(L37-L38)+L38))</f>
        <v>94.380927672174593</v>
      </c>
      <c r="E170" s="11"/>
      <c r="F170" s="11">
        <f ca="1">IF(D170="","",(LN(((LN((D170/(100-D170))))-B50)/B51))*D22)</f>
        <v>43.575327545313428</v>
      </c>
      <c r="G170" s="11">
        <f t="shared" ca="1" si="18"/>
        <v>94.380927672174593</v>
      </c>
      <c r="H170" s="50" t="str">
        <f ca="1">IF(I176=C170,I170,"")</f>
        <v/>
      </c>
      <c r="I170" s="52">
        <f t="shared" ca="1" si="19"/>
        <v>43.6</v>
      </c>
      <c r="J170" s="52"/>
      <c r="K170" s="52"/>
      <c r="L170" s="52"/>
      <c r="M170" s="52"/>
      <c r="N170" s="52"/>
      <c r="O170" s="52"/>
      <c r="P170" s="52"/>
      <c r="Q170" s="52"/>
      <c r="R170" s="52"/>
      <c r="S170" s="52"/>
      <c r="T170" s="52"/>
      <c r="U170" s="52"/>
      <c r="V170" s="52"/>
    </row>
    <row r="171" spans="1:22" x14ac:dyDescent="0.3">
      <c r="A171" s="11">
        <f ca="1">'FALL 3'!A171</f>
        <v>70.170321861690041</v>
      </c>
      <c r="B171" s="11">
        <f ca="1">'FALL 3'!B171</f>
        <v>96.792694727048797</v>
      </c>
      <c r="C171" s="11">
        <f>'FALL 3'!C171</f>
        <v>98</v>
      </c>
      <c r="D171" s="11">
        <f ca="1">IF(C171=0,"",(B171*0.01*(L37-L38)+L38))</f>
        <v>95.856840971357414</v>
      </c>
      <c r="E171" s="11"/>
      <c r="F171" s="11">
        <f ca="1">IF(D171="","",(LN(((LN((D171/(100-D171))))-B50)/B51))*D22)</f>
        <v>44.79781933159812</v>
      </c>
      <c r="G171" s="11">
        <f t="shared" ca="1" si="18"/>
        <v>95.856840971357414</v>
      </c>
      <c r="H171" s="50" t="str">
        <f ca="1">IF(I176=C171,I171,"")</f>
        <v/>
      </c>
      <c r="I171" s="52">
        <f t="shared" ca="1" si="19"/>
        <v>44.8</v>
      </c>
      <c r="J171" s="52"/>
      <c r="K171" s="52"/>
      <c r="L171" s="52"/>
      <c r="M171" s="52"/>
      <c r="N171" s="52"/>
      <c r="O171" s="52"/>
      <c r="P171" s="52"/>
      <c r="Q171" s="52"/>
      <c r="R171" s="52"/>
      <c r="S171" s="52"/>
      <c r="T171" s="52"/>
      <c r="U171" s="52"/>
      <c r="V171" s="52"/>
    </row>
    <row r="172" spans="1:22" x14ac:dyDescent="0.3">
      <c r="A172" s="11">
        <f ca="1">'FALL 3'!A172</f>
        <v>3.6181460197162254</v>
      </c>
      <c r="B172" s="11">
        <f ca="1">'FALL 3'!B172</f>
        <v>98.068589609092214</v>
      </c>
      <c r="C172" s="11">
        <f>'FALL 3'!C172</f>
        <v>99</v>
      </c>
      <c r="D172" s="11">
        <f ca="1">IF(C172=0,"",(B172*0.01*(L37-L38)+L38))</f>
        <v>97.107217959545963</v>
      </c>
      <c r="E172" s="11"/>
      <c r="F172" s="11">
        <f ca="1">IF(D172="","",(LN(((LN((D172/(100-D172))))-B50)/B51))*D22)</f>
        <v>46.18215875039779</v>
      </c>
      <c r="G172" s="11">
        <f t="shared" ca="1" si="18"/>
        <v>97.107217959545963</v>
      </c>
      <c r="H172" s="50" t="str">
        <f ca="1">IF(I176=C172,I172,"")</f>
        <v/>
      </c>
      <c r="I172" s="52">
        <f t="shared" ca="1" si="19"/>
        <v>46.2</v>
      </c>
      <c r="J172" s="52"/>
      <c r="K172" s="52"/>
      <c r="L172" s="52"/>
      <c r="M172" s="52"/>
      <c r="N172" s="52"/>
      <c r="O172" s="52"/>
      <c r="P172" s="52"/>
      <c r="Q172" s="52"/>
      <c r="R172" s="52"/>
      <c r="S172" s="52"/>
      <c r="T172" s="52"/>
      <c r="U172" s="52"/>
      <c r="V172" s="52"/>
    </row>
    <row r="173" spans="1:22" x14ac:dyDescent="0.3">
      <c r="A173" s="11">
        <f ca="1">'FALL 3'!A173</f>
        <v>61.705597331283826</v>
      </c>
      <c r="B173" s="11">
        <f ca="1">'FALL 3'!B173</f>
        <v>98.808316937464056</v>
      </c>
      <c r="C173" s="11">
        <f>'FALL 3'!C173</f>
        <v>100</v>
      </c>
      <c r="D173" s="11">
        <f ca="1">IF(C173=0,"",(B173*0.01*(L37-L38)+L38))</f>
        <v>97.832150743545398</v>
      </c>
      <c r="E173" s="11"/>
      <c r="F173" s="11">
        <f ca="1">IF(D173="","",(LN(((LN((D173/(100-D173))))-B50)/B51))*D22)</f>
        <v>47.256077191897546</v>
      </c>
      <c r="G173" s="11">
        <f t="shared" ca="1" si="18"/>
        <v>97.832150743545398</v>
      </c>
      <c r="H173" s="50" t="str">
        <f ca="1">IF(I176=C173,I173,"")</f>
        <v/>
      </c>
      <c r="I173" s="52">
        <f t="shared" ca="1" si="19"/>
        <v>47.3</v>
      </c>
      <c r="J173" s="52"/>
      <c r="K173" s="52"/>
      <c r="L173" s="52"/>
      <c r="M173" s="52"/>
      <c r="N173" s="52"/>
      <c r="O173" s="52"/>
      <c r="P173" s="52"/>
      <c r="Q173" s="52"/>
      <c r="R173" s="52"/>
      <c r="S173" s="52"/>
      <c r="T173" s="52"/>
      <c r="U173" s="52"/>
      <c r="V173" s="52"/>
    </row>
    <row r="174" spans="1:22" x14ac:dyDescent="0.3">
      <c r="H174" s="11"/>
      <c r="I174" s="52"/>
      <c r="J174" s="52"/>
      <c r="K174" s="52"/>
      <c r="L174" s="52"/>
      <c r="M174" s="52"/>
      <c r="N174" s="52"/>
      <c r="O174" s="52"/>
      <c r="P174" s="52"/>
      <c r="Q174" s="52"/>
      <c r="R174" s="52"/>
      <c r="S174" s="52"/>
      <c r="T174" s="52"/>
      <c r="U174" s="52"/>
      <c r="V174" s="52"/>
    </row>
    <row r="175" spans="1:22" x14ac:dyDescent="0.3">
      <c r="H175" s="11"/>
      <c r="I175" s="52"/>
      <c r="J175" s="52"/>
      <c r="K175" s="52"/>
      <c r="L175" s="52"/>
      <c r="M175" s="52"/>
      <c r="N175" s="52"/>
      <c r="O175" s="52"/>
      <c r="P175" s="52"/>
      <c r="Q175" s="52"/>
      <c r="R175" s="52"/>
      <c r="S175" s="52"/>
      <c r="T175" s="52"/>
      <c r="U175" s="52"/>
      <c r="V175" s="52"/>
    </row>
    <row r="176" spans="1:22" x14ac:dyDescent="0.3">
      <c r="H176" s="50">
        <f ca="1">MAX(H74:H173)</f>
        <v>26.8</v>
      </c>
      <c r="I176" s="53">
        <f ca="1">ROUND(RAND()*(99-1)+1,0)</f>
        <v>34</v>
      </c>
      <c r="J176" s="52"/>
      <c r="K176" s="52"/>
      <c r="L176" s="52"/>
      <c r="M176" s="52"/>
      <c r="N176" s="52"/>
      <c r="O176" s="52"/>
      <c r="P176" s="52"/>
      <c r="Q176" s="52"/>
      <c r="R176" s="52"/>
      <c r="S176" s="52"/>
      <c r="T176" s="52"/>
      <c r="U176" s="52"/>
      <c r="V176" s="52"/>
    </row>
    <row r="177" spans="9:22" x14ac:dyDescent="0.3">
      <c r="I177" s="52"/>
      <c r="J177" s="52"/>
      <c r="K177" s="52"/>
      <c r="L177" s="52"/>
      <c r="M177" s="52"/>
      <c r="N177" s="52"/>
      <c r="O177" s="52"/>
      <c r="P177" s="52"/>
      <c r="Q177" s="52"/>
      <c r="R177" s="52"/>
      <c r="S177" s="52"/>
      <c r="T177" s="52"/>
      <c r="U177" s="52"/>
      <c r="V177" s="52"/>
    </row>
    <row r="178" spans="9:22" x14ac:dyDescent="0.3">
      <c r="I178" s="52"/>
      <c r="J178" s="52"/>
      <c r="K178" s="52"/>
      <c r="L178" s="52"/>
      <c r="M178" s="52"/>
      <c r="N178" s="52"/>
      <c r="O178" s="52"/>
      <c r="P178" s="52"/>
      <c r="Q178" s="52"/>
      <c r="R178" s="52"/>
      <c r="S178" s="52"/>
      <c r="T178" s="52"/>
      <c r="U178" s="52"/>
      <c r="V178" s="52"/>
    </row>
    <row r="179" spans="9:22" x14ac:dyDescent="0.3">
      <c r="I179" s="52"/>
      <c r="J179" s="52"/>
      <c r="K179" s="52"/>
      <c r="L179" s="52"/>
      <c r="M179" s="52"/>
      <c r="N179" s="52"/>
      <c r="O179" s="52"/>
      <c r="P179" s="52"/>
      <c r="Q179" s="52"/>
      <c r="R179" s="52"/>
      <c r="S179" s="52"/>
      <c r="T179" s="52"/>
      <c r="U179" s="52"/>
      <c r="V179" s="52"/>
    </row>
    <row r="180" spans="9:22" x14ac:dyDescent="0.3">
      <c r="I180" s="52"/>
      <c r="J180" s="52"/>
      <c r="K180" s="52"/>
      <c r="L180" s="52"/>
      <c r="M180" s="52"/>
      <c r="N180" s="52"/>
      <c r="O180" s="52"/>
      <c r="P180" s="52"/>
      <c r="Q180" s="52"/>
      <c r="R180" s="52"/>
      <c r="S180" s="52"/>
      <c r="T180" s="52"/>
      <c r="U180" s="52"/>
      <c r="V180" s="52"/>
    </row>
    <row r="181" spans="9:22" x14ac:dyDescent="0.3">
      <c r="I181" s="52"/>
      <c r="J181" s="52"/>
      <c r="K181" s="52"/>
      <c r="L181" s="52"/>
      <c r="M181" s="52"/>
      <c r="N181" s="52"/>
      <c r="O181" s="52"/>
      <c r="P181" s="52"/>
      <c r="Q181" s="52"/>
      <c r="R181" s="52"/>
      <c r="S181" s="52"/>
      <c r="T181" s="52"/>
      <c r="U181" s="52"/>
      <c r="V181" s="52"/>
    </row>
    <row r="182" spans="9:22" x14ac:dyDescent="0.3">
      <c r="I182" s="52"/>
      <c r="J182" s="52"/>
      <c r="K182" s="52"/>
      <c r="L182" s="52"/>
      <c r="M182" s="52"/>
      <c r="N182" s="52"/>
      <c r="O182" s="52"/>
      <c r="P182" s="52"/>
      <c r="Q182" s="52"/>
      <c r="R182" s="52"/>
      <c r="S182" s="52"/>
      <c r="T182" s="52"/>
      <c r="U182" s="52"/>
      <c r="V182" s="52"/>
    </row>
    <row r="183" spans="9:22" x14ac:dyDescent="0.3">
      <c r="I183" s="52"/>
      <c r="J183" s="52"/>
      <c r="K183" s="52"/>
      <c r="L183" s="52"/>
      <c r="M183" s="52"/>
      <c r="N183" s="52"/>
      <c r="O183" s="52"/>
      <c r="P183" s="52"/>
      <c r="Q183" s="52"/>
      <c r="R183" s="52"/>
      <c r="S183" s="52"/>
      <c r="T183" s="52"/>
      <c r="U183" s="52"/>
      <c r="V183" s="52"/>
    </row>
    <row r="184" spans="9:22" x14ac:dyDescent="0.3">
      <c r="I184" s="52"/>
      <c r="J184" s="52"/>
      <c r="K184" s="52"/>
      <c r="L184" s="54"/>
      <c r="M184" s="54"/>
      <c r="N184" s="52"/>
      <c r="O184" s="52"/>
      <c r="P184" s="52"/>
      <c r="Q184" s="54"/>
      <c r="R184" s="54"/>
      <c r="S184" s="52"/>
      <c r="T184" s="52"/>
      <c r="U184" s="52"/>
      <c r="V184" s="52"/>
    </row>
    <row r="185" spans="9:22" x14ac:dyDescent="0.3">
      <c r="I185" s="52"/>
      <c r="J185" s="52"/>
      <c r="K185" s="52"/>
      <c r="L185" s="52"/>
      <c r="M185" s="52"/>
      <c r="N185" s="52"/>
      <c r="O185" s="52"/>
      <c r="P185" s="52"/>
      <c r="Q185" s="52"/>
      <c r="R185" s="52"/>
      <c r="S185" s="52"/>
      <c r="T185" s="52"/>
      <c r="U185" s="52"/>
      <c r="V185" s="52"/>
    </row>
    <row r="236" spans="5:7" x14ac:dyDescent="0.3">
      <c r="E236" s="11"/>
      <c r="F236" s="11"/>
      <c r="G236" s="11"/>
    </row>
    <row r="237" spans="5:7" x14ac:dyDescent="0.3">
      <c r="E237" s="11"/>
      <c r="F237" s="11"/>
      <c r="G237" s="11"/>
    </row>
    <row r="238" spans="5:7" x14ac:dyDescent="0.3">
      <c r="E238" s="11"/>
      <c r="F238" s="11"/>
      <c r="G238" s="11"/>
    </row>
    <row r="239" spans="5:7" x14ac:dyDescent="0.3">
      <c r="E239" s="11"/>
      <c r="F239" s="11"/>
      <c r="G239" s="11"/>
    </row>
    <row r="240" spans="5:7" x14ac:dyDescent="0.3">
      <c r="E240" s="11"/>
      <c r="F240" s="11"/>
      <c r="G240" s="11"/>
    </row>
    <row r="241" spans="5:7" x14ac:dyDescent="0.3">
      <c r="E241" s="11"/>
      <c r="F241" s="11"/>
      <c r="G241" s="11"/>
    </row>
    <row r="242" spans="5:7" x14ac:dyDescent="0.3">
      <c r="E242" s="11"/>
      <c r="F242" s="11"/>
      <c r="G242" s="11"/>
    </row>
    <row r="243" spans="5:7" x14ac:dyDescent="0.3">
      <c r="E243" s="11"/>
      <c r="F243" s="11"/>
      <c r="G243" s="11"/>
    </row>
    <row r="244" spans="5:7" x14ac:dyDescent="0.3">
      <c r="E244" s="11"/>
      <c r="F244" s="11"/>
      <c r="G244" s="11"/>
    </row>
    <row r="245" spans="5:7" x14ac:dyDescent="0.3">
      <c r="E245" s="11"/>
      <c r="F245" s="11"/>
      <c r="G245" s="11"/>
    </row>
    <row r="246" spans="5:7" x14ac:dyDescent="0.3">
      <c r="E246" s="11"/>
      <c r="F246" s="11"/>
      <c r="G246" s="11"/>
    </row>
    <row r="247" spans="5:7" x14ac:dyDescent="0.3">
      <c r="E247" s="11"/>
      <c r="F247" s="11"/>
      <c r="G247" s="11"/>
    </row>
  </sheetData>
  <mergeCells count="9">
    <mergeCell ref="A1:D1"/>
    <mergeCell ref="A2:D2"/>
    <mergeCell ref="J3:N3"/>
    <mergeCell ref="E4:G4"/>
    <mergeCell ref="E5:F5"/>
    <mergeCell ref="G5:H5"/>
    <mergeCell ref="I5:J5"/>
    <mergeCell ref="K5:L5"/>
    <mergeCell ref="M5:N5"/>
  </mergeCells>
  <dataValidations count="5">
    <dataValidation type="decimal" allowBlank="1" showInputMessage="1" showErrorMessage="1" sqref="D35" xr:uid="{0CD389BE-0539-4799-AFC8-40B1C2D4A117}">
      <formula1>IF(#REF!=0,0,X6)</formula1>
      <formula2>IF(#REF!=0,0,X45)</formula2>
    </dataValidation>
    <dataValidation type="decimal" allowBlank="1" showInputMessage="1" showErrorMessage="1" sqref="B26" xr:uid="{7A9CE306-21B8-4D5C-88A5-23084A262879}">
      <formula1>1</formula1>
      <formula2>99</formula2>
    </dataValidation>
    <dataValidation type="decimal" allowBlank="1" showInputMessage="1" showErrorMessage="1" sqref="B25" xr:uid="{75D34468-D465-4CE9-B4BF-25C41C046E96}">
      <formula1>(B23)</formula1>
      <formula2>(D23)</formula2>
    </dataValidation>
    <dataValidation type="decimal" allowBlank="1" showInputMessage="1" showErrorMessage="1" sqref="D38" xr:uid="{00000000-0002-0000-0500-000001000000}">
      <formula1>IF(#REF!=0,10^15,MIN(B6:B33))</formula1>
      <formula2>IF(#REF!=0,0,MAX(B6:B33))</formula2>
    </dataValidation>
    <dataValidation type="whole" operator="equal" allowBlank="1" showInputMessage="1" showErrorMessage="1" sqref="P3:T22" xr:uid="{967C654B-FFD1-4DDC-8D23-2A3351361954}">
      <formula1>100000</formula1>
    </dataValidation>
  </dataValidations>
  <pageMargins left="0.7" right="0.7" top="0.78740157499999996" bottom="0.78740157499999996" header="0.3" footer="0.3"/>
  <pageSetup paperSize="9" scale="95" orientation="landscape" horizontalDpi="4294967293" verticalDpi="4294967293" r:id="rId1"/>
  <ignoredErrors>
    <ignoredError sqref="R11"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NUR MIT PASSWORT</vt:lpstr>
      <vt:lpstr>THEMA + INHALT</vt:lpstr>
      <vt:lpstr>FALL 1</vt:lpstr>
      <vt:lpstr>FALL 2</vt:lpstr>
      <vt:lpstr>FALL 3</vt:lpstr>
      <vt:lpstr>FALL A</vt:lpstr>
      <vt:lpstr>FALL B</vt:lpstr>
      <vt:lpstr>FALL 4</vt:lpstr>
      <vt:lpstr>FALL 5</vt:lpstr>
      <vt:lpstr>FALL C</vt:lpstr>
      <vt:lpstr>FALL D</vt:lpstr>
      <vt:lpstr>FALL E</vt:lpstr>
      <vt:lpstr>FALL GV</vt:lpstr>
      <vt:lpstr>FALL 6</vt:lpstr>
      <vt:lpstr>ANZAHLLEERZELLEN</vt:lpstr>
      <vt:lpstr>'FALL 1'!Druckbereich</vt:lpstr>
      <vt:lpstr>'FALL 2'!Druckbereich</vt:lpstr>
      <vt:lpstr>'FALL 3'!Druckbereich</vt:lpstr>
      <vt:lpstr>'FALL 4'!Druckbereich</vt:lpstr>
      <vt:lpstr>'FALL 5'!Druckbereich</vt:lpstr>
      <vt:lpstr>'FALL 6'!Druckbereich</vt:lpstr>
      <vt:lpstr>'NUR MIT PASSWORT'!Druckbereich</vt:lpstr>
      <vt:lpstr>'THEMA + INHALT'!Druckbereich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dc:creator>
  <cp:lastModifiedBy>Heinz</cp:lastModifiedBy>
  <cp:lastPrinted>2019-02-07T12:06:15Z</cp:lastPrinted>
  <dcterms:created xsi:type="dcterms:W3CDTF">2015-11-23T13:35:53Z</dcterms:created>
  <dcterms:modified xsi:type="dcterms:W3CDTF">2019-02-18T10:24:10Z</dcterms:modified>
</cp:coreProperties>
</file>