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<sst xmlns="http://schemas.openxmlformats.org/spreadsheetml/2006/main" count="250" uniqueCount="180">
  <si>
    <t>(SCHWIMMENDE ESTRICHE) AUF DÄMMSCHICHT UND / ODER TRITTSCHALLDÄMMUNG</t>
  </si>
  <si>
    <t>1. Eingaben zum Unterlagsboden / Estrich (UB):</t>
  </si>
  <si>
    <t>E - Modul (E_UB):</t>
  </si>
  <si>
    <t>zul. Biegezug (σ_bz.):</t>
  </si>
  <si>
    <t>N/mm2</t>
  </si>
  <si>
    <t>2. Eingaben zur Dämmung (WD / TSD), max. 3 Typen / Lagen:</t>
  </si>
  <si>
    <t>E - Modul (E1_WD/TSD):</t>
  </si>
  <si>
    <t>Stärke (d1_WD/TSD):</t>
  </si>
  <si>
    <t>mm</t>
  </si>
  <si>
    <t>E - Modul (E2_WD/TSD):</t>
  </si>
  <si>
    <t>Stärke (d2_WD/TSD):</t>
  </si>
  <si>
    <t>E - Modul (E3_WD/TSD):</t>
  </si>
  <si>
    <t>Stärke (d3_WD/TSD):</t>
  </si>
  <si>
    <t>kN</t>
  </si>
  <si>
    <t>Normative Last-Aufstandsfläche (A):</t>
  </si>
  <si>
    <t>mm2</t>
  </si>
  <si>
    <t>E-Modul Halbraum / Erdreich (E_U):</t>
  </si>
  <si>
    <t>3. Eingabe von Randbedingungen:</t>
  </si>
  <si>
    <t>[mm]</t>
  </si>
  <si>
    <t>[kN]</t>
  </si>
  <si>
    <t xml:space="preserve"> [mm]</t>
  </si>
  <si>
    <r>
      <t xml:space="preserve">res. </t>
    </r>
    <r>
      <rPr>
        <sz val="10"/>
        <rFont val="Arial"/>
        <family val="2"/>
      </rPr>
      <t>Σ</t>
    </r>
    <r>
      <rPr>
        <sz val="10"/>
        <rFont val="Arial"/>
        <family val="0"/>
      </rPr>
      <t>s, f(σ_bz)</t>
    </r>
  </si>
  <si>
    <t>[-]</t>
  </si>
  <si>
    <t>Randbereich (a)</t>
  </si>
  <si>
    <t>Hilfswert κ</t>
  </si>
  <si>
    <t>Bettungsmodul (k_B)</t>
  </si>
  <si>
    <t>[MN/m3]</t>
  </si>
  <si>
    <t>Hilfswert lc</t>
  </si>
  <si>
    <t>(Gebrauchslast - Niveau)</t>
  </si>
  <si>
    <t>kN/m2</t>
  </si>
  <si>
    <t>(*nur bei sich durchbiegendem Tragwerk erf.)</t>
  </si>
  <si>
    <t>*Vorhandene Flächenlast (q):</t>
  </si>
  <si>
    <t xml:space="preserve">  aus Schubspannung (τ)</t>
  </si>
  <si>
    <r>
      <t>zul.</t>
    </r>
    <r>
      <rPr>
        <sz val="10"/>
        <rFont val="Symbol"/>
        <family val="1"/>
      </rPr>
      <t>j</t>
    </r>
    <r>
      <rPr>
        <sz val="10"/>
        <rFont val="Arial"/>
        <family val="0"/>
      </rPr>
      <t>·Q (τ)</t>
    </r>
  </si>
  <si>
    <t>res. s, f (τ)</t>
  </si>
  <si>
    <t>res. s, f (σ_bz)</t>
  </si>
  <si>
    <t>res. s, f (σ_d)</t>
  </si>
  <si>
    <t xml:space="preserve">BODEN </t>
  </si>
  <si>
    <t xml:space="preserve">                                                              Hilfswerte</t>
  </si>
  <si>
    <t>*Rohdichte des Unterlagsbodens (ρ):</t>
  </si>
  <si>
    <t>kN/m3</t>
  </si>
  <si>
    <t>m'</t>
  </si>
  <si>
    <t>wenn starre Unterkonstruktion, dann L = 0 [m'] einsetzen!</t>
  </si>
  <si>
    <t>mm'</t>
  </si>
  <si>
    <t>Hilfswert γ·α</t>
  </si>
  <si>
    <t>Hilfswert EJ Trgw.</t>
  </si>
  <si>
    <t>[kN·m2]</t>
  </si>
  <si>
    <t>[kN/m2]</t>
  </si>
  <si>
    <t>Hilfswert μ</t>
  </si>
  <si>
    <t>[δ1 /(δ1 +δ2)]</t>
  </si>
  <si>
    <t>Wirkungsradius (R)</t>
  </si>
  <si>
    <t>Hilfswert σ2</t>
  </si>
  <si>
    <t>Hilfswert s1</t>
  </si>
  <si>
    <t>Hilfswert s2</t>
  </si>
  <si>
    <t>Hilfswert s3</t>
  </si>
  <si>
    <r>
      <t>(nur</t>
    </r>
    <r>
      <rPr>
        <sz val="11"/>
        <rFont val="Arial"/>
        <family val="2"/>
      </rPr>
      <t xml:space="preserve"> Nutzlast, auf Gebrauchslast - Niveau)</t>
    </r>
  </si>
  <si>
    <t>(für starre Unterkonstruktion: E_U = 100000 N/mm2 einsetzen!)</t>
  </si>
  <si>
    <r>
      <t xml:space="preserve">5. Zulässige Einzellast (zul. </t>
    </r>
    <r>
      <rPr>
        <b/>
        <sz val="11"/>
        <color indexed="10"/>
        <rFont val="Symbol"/>
        <family val="1"/>
      </rPr>
      <t xml:space="preserve">j </t>
    </r>
    <r>
      <rPr>
        <b/>
        <sz val="11"/>
        <color indexed="10"/>
        <rFont val="Arial"/>
        <family val="2"/>
      </rPr>
      <t xml:space="preserve">·Q) im Randbereich, je nach Kriterium und mit daraus resultierender Stauchung (s, </t>
    </r>
    <r>
      <rPr>
        <b/>
        <sz val="11"/>
        <color indexed="10"/>
        <rFont val="Arial"/>
        <family val="2"/>
      </rPr>
      <t>Σ</t>
    </r>
    <r>
      <rPr>
        <b/>
        <sz val="11"/>
        <color indexed="10"/>
        <rFont val="Arial"/>
        <family val="2"/>
      </rPr>
      <t>s):</t>
    </r>
    <r>
      <rPr>
        <b/>
        <sz val="11"/>
        <rFont val="Arial"/>
        <family val="2"/>
      </rPr>
      <t>***</t>
    </r>
  </si>
  <si>
    <t>(*informativ, als Zielvorgabe!)</t>
  </si>
  <si>
    <t>Die gelben Felder erfordern eine Eingabe!</t>
  </si>
  <si>
    <t>*Spannweite/Tragrichtung Tragwerk (Lx):</t>
  </si>
  <si>
    <r>
      <t xml:space="preserve">  zul.</t>
    </r>
    <r>
      <rPr>
        <b/>
        <sz val="11"/>
        <rFont val="Symbol"/>
        <family val="1"/>
      </rPr>
      <t>j</t>
    </r>
    <r>
      <rPr>
        <b/>
        <sz val="11"/>
        <rFont val="Arial"/>
        <family val="2"/>
      </rPr>
      <t>·</t>
    </r>
    <r>
      <rPr>
        <b/>
        <sz val="11"/>
        <rFont val="Arial"/>
        <family val="2"/>
      </rPr>
      <t>Q begrenzt durch zul.(σ_d)</t>
    </r>
  </si>
  <si>
    <r>
      <t xml:space="preserve"> zul.</t>
    </r>
    <r>
      <rPr>
        <b/>
        <sz val="11"/>
        <rFont val="Symbol"/>
        <family val="1"/>
      </rPr>
      <t>j</t>
    </r>
    <r>
      <rPr>
        <b/>
        <sz val="11"/>
        <rFont val="Arial"/>
        <family val="2"/>
      </rPr>
      <t>·</t>
    </r>
    <r>
      <rPr>
        <b/>
        <sz val="11"/>
        <rFont val="Arial"/>
        <family val="2"/>
      </rPr>
      <t>Q begrenzt durch zul.(σ_bz)</t>
    </r>
  </si>
  <si>
    <r>
      <t>zul.</t>
    </r>
    <r>
      <rPr>
        <b/>
        <sz val="11"/>
        <rFont val="Symbol"/>
        <family val="1"/>
      </rPr>
      <t>j</t>
    </r>
    <r>
      <rPr>
        <b/>
        <sz val="11"/>
        <rFont val="Arial"/>
        <family val="2"/>
      </rPr>
      <t>·Q begrenzt durch zul.(τ)</t>
    </r>
  </si>
  <si>
    <r>
      <t xml:space="preserve"> zul.red</t>
    </r>
    <r>
      <rPr>
        <b/>
        <sz val="11"/>
        <rFont val="Symbol"/>
        <family val="1"/>
      </rPr>
      <t>j</t>
    </r>
    <r>
      <rPr>
        <b/>
        <sz val="11"/>
        <rFont val="Arial"/>
        <family val="2"/>
      </rPr>
      <t>·Q begrenzt durch zul.(σ_bz)</t>
    </r>
  </si>
  <si>
    <r>
      <t xml:space="preserve">res. </t>
    </r>
    <r>
      <rPr>
        <sz val="10"/>
        <rFont val="Arial"/>
        <family val="2"/>
      </rPr>
      <t>Σ</t>
    </r>
    <r>
      <rPr>
        <sz val="10"/>
        <rFont val="Arial"/>
        <family val="0"/>
      </rPr>
      <t>s, f (σ_bz) [mm]</t>
    </r>
  </si>
  <si>
    <t xml:space="preserve">  zul.(σ_d) nie massgebend, zul.(τ) ~ identisch</t>
  </si>
  <si>
    <t xml:space="preserve"> UNTERLAGS -</t>
  </si>
  <si>
    <t xml:space="preserve">                       RANDBEREICH (RB) STARR GELAGERT</t>
  </si>
  <si>
    <t>4. Hinweise zu den Resultaten:</t>
  </si>
  <si>
    <r>
      <t>●</t>
    </r>
    <r>
      <rPr>
        <sz val="11"/>
        <rFont val="Arial"/>
        <family val="2"/>
      </rPr>
      <t xml:space="preserve"> Der &lt;Feldbereich Nutzplatte&gt; (UB) ist </t>
    </r>
    <r>
      <rPr>
        <u val="single"/>
        <sz val="11"/>
        <rFont val="Arial"/>
        <family val="2"/>
      </rPr>
      <t>generell</t>
    </r>
    <r>
      <rPr>
        <sz val="11"/>
        <rFont val="Arial"/>
        <family val="2"/>
      </rPr>
      <t xml:space="preserve"> weder &lt;druckspannungs - bedingt&gt; noch &lt;biegespannungs - bedngt&gt; massgebend für zul.</t>
    </r>
    <r>
      <rPr>
        <sz val="11"/>
        <rFont val="Symbol"/>
        <family val="1"/>
      </rPr>
      <t>j</t>
    </r>
    <r>
      <rPr>
        <sz val="11"/>
        <rFont val="Arial"/>
        <family val="2"/>
      </rPr>
      <t>·Q --&gt; kein Nachweis!</t>
    </r>
  </si>
  <si>
    <r>
      <t xml:space="preserve">● </t>
    </r>
    <r>
      <rPr>
        <sz val="11"/>
        <rFont val="Arial"/>
        <family val="2"/>
      </rPr>
      <t>Bei nachgiebigem Tragwerk (</t>
    </r>
    <r>
      <rPr>
        <sz val="11"/>
        <rFont val="Arial"/>
        <family val="2"/>
      </rPr>
      <t>δ</t>
    </r>
    <r>
      <rPr>
        <sz val="11"/>
        <rFont val="Arial"/>
        <family val="2"/>
      </rPr>
      <t xml:space="preserve"> ≤ Lx/300) gelten im &lt;Eckbereich Nutzplatte&gt; </t>
    </r>
    <r>
      <rPr>
        <u val="single"/>
        <sz val="11"/>
        <rFont val="Arial"/>
        <family val="2"/>
      </rPr>
      <t>druckspannungs - bedingt</t>
    </r>
    <r>
      <rPr>
        <sz val="11"/>
        <rFont val="Arial"/>
        <family val="2"/>
      </rPr>
      <t xml:space="preserve"> sowie </t>
    </r>
    <r>
      <rPr>
        <u val="single"/>
        <sz val="11"/>
        <rFont val="Arial"/>
        <family val="2"/>
      </rPr>
      <t>schubspannungs - bedingt</t>
    </r>
    <r>
      <rPr>
        <sz val="11"/>
        <rFont val="Arial"/>
        <family val="2"/>
      </rPr>
      <t xml:space="preserve"> dieselben zul.</t>
    </r>
    <r>
      <rPr>
        <sz val="11"/>
        <rFont val="Symbol"/>
        <family val="1"/>
      </rPr>
      <t>j</t>
    </r>
    <r>
      <rPr>
        <sz val="11"/>
        <rFont val="Arial"/>
        <family val="2"/>
      </rPr>
      <t>·Q wie bei starrer Lagerung</t>
    </r>
  </si>
  <si>
    <r>
      <t xml:space="preserve">(M) = MULTIPLIKATOR </t>
    </r>
    <r>
      <rPr>
        <b/>
        <u val="single"/>
        <sz val="11"/>
        <rFont val="Arial"/>
        <family val="2"/>
      </rPr>
      <t>BEI FÜNF NACHBARLASTEN</t>
    </r>
    <r>
      <rPr>
        <b/>
        <sz val="11"/>
        <rFont val="Arial"/>
        <family val="2"/>
      </rPr>
      <t xml:space="preserve"> IM X/Y - ACHSRASTER</t>
    </r>
  </si>
  <si>
    <t xml:space="preserve">      </t>
  </si>
  <si>
    <t xml:space="preserve">                                                              </t>
  </si>
  <si>
    <t xml:space="preserve">Empfohlene Kennwerte je nach Estrich - Typ (UB) und Dämmstoff (WD / TSD) siehe unterhalb der folgenden Tabelle </t>
  </si>
  <si>
    <r>
      <t xml:space="preserve">Kleinste zul. </t>
    </r>
    <r>
      <rPr>
        <sz val="11"/>
        <rFont val="Arial"/>
        <family val="2"/>
      </rPr>
      <t xml:space="preserve">Druckspannung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σ_d</t>
    </r>
    <r>
      <rPr>
        <b/>
        <sz val="11"/>
        <rFont val="Arial"/>
        <family val="2"/>
      </rPr>
      <t>):</t>
    </r>
  </si>
  <si>
    <r>
      <t>(</t>
    </r>
    <r>
      <rPr>
        <u val="single"/>
        <sz val="11"/>
        <rFont val="Arial"/>
        <family val="2"/>
      </rPr>
      <t>Gebrauchslast - Niveau</t>
    </r>
    <r>
      <rPr>
        <sz val="11"/>
        <rFont val="Arial"/>
        <family val="2"/>
      </rPr>
      <t xml:space="preserve">; inkl. allfälligem Stosszuschlag </t>
    </r>
    <r>
      <rPr>
        <sz val="11"/>
        <rFont val="Symbol"/>
        <family val="1"/>
      </rPr>
      <t>j</t>
    </r>
    <r>
      <rPr>
        <sz val="11"/>
        <rFont val="Arial"/>
        <family val="2"/>
      </rPr>
      <t>)</t>
    </r>
  </si>
  <si>
    <t xml:space="preserve">● Aus der Berechnung: Ideeller E - Modul aller Dämmschichten = </t>
  </si>
  <si>
    <r>
      <t xml:space="preserve">Typ </t>
    </r>
    <r>
      <rPr>
        <b/>
        <sz val="11"/>
        <rFont val="Arial"/>
        <family val="2"/>
      </rPr>
      <t>unterste</t>
    </r>
    <r>
      <rPr>
        <sz val="11"/>
        <rFont val="Arial"/>
        <family val="2"/>
      </rPr>
      <t xml:space="preserve"> Lage / Bezeichnung (fakultativ):</t>
    </r>
  </si>
  <si>
    <t>● Alle hier vorliegenden Einträge / Vorhaben sind als Beispiele schreibgeschützt (wiederkehrend) und können für eigene Berechnungen überschrieben werden.</t>
  </si>
  <si>
    <r>
      <t>*Vorhandene Aufstandslast (</t>
    </r>
    <r>
      <rPr>
        <sz val="11"/>
        <color indexed="14"/>
        <rFont val="Symbol"/>
        <family val="1"/>
      </rPr>
      <t>j</t>
    </r>
    <r>
      <rPr>
        <sz val="11"/>
        <color indexed="14"/>
        <rFont val="Arial"/>
        <family val="2"/>
      </rPr>
      <t>·Q):</t>
    </r>
  </si>
  <si>
    <r>
      <t>X=Y = 500</t>
    </r>
    <r>
      <rPr>
        <b/>
        <sz val="10"/>
        <rFont val="Arial"/>
        <family val="2"/>
      </rPr>
      <t>·</t>
    </r>
    <r>
      <rPr>
        <b/>
        <sz val="10"/>
        <rFont val="Arial"/>
        <family val="2"/>
      </rPr>
      <t>500 mm</t>
    </r>
  </si>
  <si>
    <r>
      <t>X=Y = 750</t>
    </r>
    <r>
      <rPr>
        <b/>
        <sz val="10"/>
        <rFont val="Arial"/>
        <family val="2"/>
      </rPr>
      <t>·</t>
    </r>
    <r>
      <rPr>
        <b/>
        <sz val="10"/>
        <rFont val="Arial"/>
        <family val="2"/>
      </rPr>
      <t>750 mm</t>
    </r>
  </si>
  <si>
    <r>
      <t>X=Y = 1000</t>
    </r>
    <r>
      <rPr>
        <b/>
        <sz val="10"/>
        <rFont val="Arial"/>
        <family val="2"/>
      </rPr>
      <t>·</t>
    </r>
    <r>
      <rPr>
        <b/>
        <sz val="10"/>
        <rFont val="Arial"/>
        <family val="2"/>
      </rPr>
      <t>1000 mm</t>
    </r>
  </si>
  <si>
    <r>
      <t>X=Y = 1250</t>
    </r>
    <r>
      <rPr>
        <b/>
        <sz val="10"/>
        <rFont val="Arial"/>
        <family val="2"/>
      </rPr>
      <t>·</t>
    </r>
    <r>
      <rPr>
        <b/>
        <sz val="10"/>
        <rFont val="Arial"/>
        <family val="2"/>
      </rPr>
      <t>1250 mm</t>
    </r>
  </si>
  <si>
    <r>
      <t>zul.</t>
    </r>
    <r>
      <rPr>
        <b/>
        <sz val="10"/>
        <rFont val="Symbol"/>
        <family val="1"/>
      </rPr>
      <t>j</t>
    </r>
    <r>
      <rPr>
        <b/>
        <sz val="10"/>
        <rFont val="Arial"/>
        <family val="2"/>
      </rPr>
      <t>·Q (σ_d)</t>
    </r>
  </si>
  <si>
    <r>
      <t>zul.</t>
    </r>
    <r>
      <rPr>
        <b/>
        <sz val="10"/>
        <rFont val="Symbol"/>
        <family val="1"/>
      </rPr>
      <t>j</t>
    </r>
    <r>
      <rPr>
        <b/>
        <sz val="10"/>
        <rFont val="Arial"/>
        <family val="2"/>
      </rPr>
      <t>·Q (σ_bz)</t>
    </r>
  </si>
  <si>
    <r>
      <t>zul.</t>
    </r>
    <r>
      <rPr>
        <b/>
        <sz val="10"/>
        <rFont val="Symbol"/>
        <family val="1"/>
      </rPr>
      <t>j</t>
    </r>
    <r>
      <rPr>
        <b/>
        <sz val="10"/>
        <rFont val="Arial"/>
        <family val="2"/>
      </rPr>
      <t>·Q (τ)</t>
    </r>
  </si>
  <si>
    <t>[N/mm2]</t>
  </si>
  <si>
    <t>Ergebnisse gültig für 2500 mm2 ≤ A  ≤ 40000 mm2!!</t>
  </si>
  <si>
    <r>
      <t xml:space="preserve">(des entspr. Dämmstoff - Typs; für </t>
    </r>
    <r>
      <rPr>
        <u val="single"/>
        <sz val="11"/>
        <rFont val="Arial"/>
        <family val="2"/>
      </rPr>
      <t>Gebrauchslast - Niveau</t>
    </r>
    <r>
      <rPr>
        <sz val="11"/>
        <rFont val="Arial"/>
        <family val="2"/>
      </rPr>
      <t>)</t>
    </r>
  </si>
  <si>
    <t>Unterlagsböden / Estrich - Typen</t>
  </si>
  <si>
    <t xml:space="preserve">zul. Biegezug </t>
  </si>
  <si>
    <t xml:space="preserve">[N/mm2] </t>
  </si>
  <si>
    <t>Dämmschichten WD und TSD</t>
  </si>
  <si>
    <t>zul. Druckspannung</t>
  </si>
  <si>
    <t>(Auswahl)</t>
  </si>
  <si>
    <t>Isocalor (MF)</t>
  </si>
  <si>
    <t>EPS 300</t>
  </si>
  <si>
    <t>XPS 500</t>
  </si>
  <si>
    <t xml:space="preserve">XPS 700 </t>
  </si>
  <si>
    <t>FOAMGLAS T4+</t>
  </si>
  <si>
    <t>Zementestrich (CT)</t>
  </si>
  <si>
    <t>Zementfliessestrich (CTF)</t>
  </si>
  <si>
    <t>Calziumsulfatestrich (CA)</t>
  </si>
  <si>
    <t>Calziumsulfatfliessestreich (CAF)</t>
  </si>
  <si>
    <t>Kunstharzestrich (SR)</t>
  </si>
  <si>
    <t>E - Modul (Biegung)</t>
  </si>
  <si>
    <t>E - Modul (Druck)</t>
  </si>
  <si>
    <r>
      <t xml:space="preserve"> [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>N/mm2]</t>
    </r>
  </si>
  <si>
    <t>≥ 4.0</t>
  </si>
  <si>
    <t>PS81 (MF)</t>
  </si>
  <si>
    <t xml:space="preserve"> [N/mm2], Langzeit</t>
  </si>
  <si>
    <t xml:space="preserve">[N/mm2], Langzeit </t>
  </si>
  <si>
    <t>2.0 - 3.0</t>
  </si>
  <si>
    <t>2.0 - 4.0</t>
  </si>
  <si>
    <t>1.5 - 3.0</t>
  </si>
  <si>
    <t>2.5 - 4.0</t>
  </si>
  <si>
    <t>30 - 35</t>
  </si>
  <si>
    <t>30 - 40</t>
  </si>
  <si>
    <t>25 - 35</t>
  </si>
  <si>
    <t>35 - 45</t>
  </si>
  <si>
    <t xml:space="preserve">~ 8 - 12 </t>
  </si>
  <si>
    <t>~ 60 - 100</t>
  </si>
  <si>
    <t>~ 13 - 17</t>
  </si>
  <si>
    <t>0.09 - 0.11</t>
  </si>
  <si>
    <t>Juni 2012 / Ba.</t>
  </si>
  <si>
    <t>(***Bei s resp. Σs handelt es sich um die spezifische Verformung resp. den Abstich des UB, gemessen ab dessen OK - Horizont. Ergebnis immer kleiner als zul.L/300 bei elastischen Tragsystemen)</t>
  </si>
  <si>
    <t>(wenn UB über Edrdreich ohne Dämmstoff, dann zul. Pressung des Erdreichs)</t>
  </si>
  <si>
    <r>
      <t>● Falls bei starrer Lagerung (bzw. Erdreich bis E_U = 100'000 MN/m2) eine Einzellast im &lt;</t>
    </r>
    <r>
      <rPr>
        <u val="single"/>
        <sz val="11"/>
        <rFont val="Arial"/>
        <family val="2"/>
      </rPr>
      <t>Eckbereich Nutzplatte</t>
    </r>
    <r>
      <rPr>
        <sz val="11"/>
        <rFont val="Arial"/>
        <family val="2"/>
      </rPr>
      <t xml:space="preserve">&gt; ist (z.B. bei Kreuzfugen), so reduziert sich </t>
    </r>
    <r>
      <rPr>
        <u val="single"/>
        <sz val="11"/>
        <rFont val="Arial"/>
        <family val="2"/>
      </rPr>
      <t>druckspannungs - bedingt</t>
    </r>
    <r>
      <rPr>
        <sz val="11"/>
        <rFont val="Arial"/>
        <family val="2"/>
      </rPr>
      <t xml:space="preserve">  zul.</t>
    </r>
    <r>
      <rPr>
        <sz val="11"/>
        <rFont val="Symbol"/>
        <family val="1"/>
      </rPr>
      <t>j</t>
    </r>
    <r>
      <rPr>
        <sz val="11"/>
        <rFont val="Arial"/>
        <family val="2"/>
      </rPr>
      <t>·Q gegenüber dem &lt;Rand&gt; auf ca. die Hälfte!</t>
    </r>
  </si>
  <si>
    <r>
      <t>● Falls bei starrer Lagerung  (bzw. Erdreich bis E_U = 100'000 MN/m2) eine Einzellast im &lt;</t>
    </r>
    <r>
      <rPr>
        <u val="single"/>
        <sz val="11"/>
        <rFont val="Arial"/>
        <family val="2"/>
      </rPr>
      <t>Eckbereich Nutzplatte</t>
    </r>
    <r>
      <rPr>
        <sz val="11"/>
        <rFont val="Arial"/>
        <family val="2"/>
      </rPr>
      <t>&gt; ist (z.B. bei Kreuzfugen), so ändert sich biegespannungs</t>
    </r>
    <r>
      <rPr>
        <u val="single"/>
        <sz val="11"/>
        <rFont val="Arial"/>
        <family val="2"/>
      </rPr>
      <t xml:space="preserve"> - bedingt</t>
    </r>
    <r>
      <rPr>
        <sz val="11"/>
        <rFont val="Arial"/>
        <family val="2"/>
      </rPr>
      <t xml:space="preserve"> der Tabellenwert zul.</t>
    </r>
    <r>
      <rPr>
        <sz val="11"/>
        <rFont val="Symbol"/>
        <family val="1"/>
      </rPr>
      <t>j</t>
    </r>
    <r>
      <rPr>
        <sz val="11"/>
        <rFont val="Arial"/>
        <family val="2"/>
      </rPr>
      <t>·Q gegenüber dem &lt;Rand&gt; nicht (Zug oben!)</t>
    </r>
  </si>
  <si>
    <r>
      <t xml:space="preserve">● Bei nachgiebigem Tragwerk (δ ≤ Lx/300) ist der &lt;Eckbereich Nutzplatte&gt; </t>
    </r>
    <r>
      <rPr>
        <u val="single"/>
        <sz val="11"/>
        <rFont val="Arial"/>
        <family val="2"/>
      </rPr>
      <t>biegespannungs -bedingt</t>
    </r>
    <r>
      <rPr>
        <sz val="11"/>
        <rFont val="Arial"/>
        <family val="2"/>
      </rPr>
      <t xml:space="preserve"> nicht relevant (keine mittragende Wirkung des UB infolge "Gelenk").</t>
    </r>
  </si>
  <si>
    <t>● Die Multiplikatoren (M; s.Spalte J - M) auf die Lastvorgabe (Spezialfall "Regalfüsse") sind nur in jenem Spaltenbereich gültig, wo sie gleichzeitig mit der Plattenstärke ansteigen; bei gegenläufigem Trend ist zur Ermittlung von (M) statt dessen eine Extrapolation vorzunehmen. Diese Einschränkung ist Formel - bedingt.</t>
  </si>
  <si>
    <t>M [-]</t>
  </si>
  <si>
    <t>Multiplikatoren nur / erst gültig, wenn zusammen mit Plattenstärke ansteigend!</t>
  </si>
  <si>
    <t>Zementestrich CT</t>
  </si>
  <si>
    <t>LURO 814 (MF)</t>
  </si>
  <si>
    <t xml:space="preserve">                                                                                                     RICHTWERTE DER KENNGRÖSSEN VON UNTERLAGSBÖDEN UND DÄMMSTOFFEN</t>
  </si>
  <si>
    <t>ERLÄUTERUNG DER MARKIERTEN BEISPIELFELDER:</t>
  </si>
  <si>
    <t>entfällt mehr Biegespannung auf den UB. --&gt; sichere Seite!</t>
  </si>
  <si>
    <t xml:space="preserve">    TRAGKONSTRUKTION δ=Lx/300 ***</t>
  </si>
  <si>
    <r>
      <t xml:space="preserve">*** Mit hier eingerechnetem </t>
    </r>
    <r>
      <rPr>
        <sz val="8"/>
        <rFont val="Arial"/>
        <family val="2"/>
      </rPr>
      <t>δ</t>
    </r>
    <r>
      <rPr>
        <i/>
        <sz val="8"/>
        <rFont val="Arial"/>
        <family val="2"/>
      </rPr>
      <t>= Lx/300 (statt z.B. Lx/400)</t>
    </r>
  </si>
  <si>
    <t xml:space="preserve">TRAGLASTNACHWEIS VON UNVERDÜBELTEN UND UNBEWEHRTEN UNTERLAGSBÖDEN </t>
  </si>
  <si>
    <t>Gussasphalt (AS)</t>
  </si>
  <si>
    <t>1……...15</t>
  </si>
  <si>
    <t>1.5 - 4.5</t>
  </si>
  <si>
    <t>Beachte: Es sind auch Berechnungen ohne Dämmschicht, z.B. Hallenboden auf Erdreich (E - Modul E_U ~ 20 - 500 MN/m2) möglich!</t>
  </si>
  <si>
    <t>Bei Regalfüssen mit Achsraster X = Y [mm] beachte Multiplikator Spalten J bis M</t>
  </si>
  <si>
    <r>
      <t xml:space="preserve">MASSGEBENDE ZIELVORGABE </t>
    </r>
    <r>
      <rPr>
        <b/>
        <sz val="11"/>
        <rFont val="Arial"/>
        <family val="2"/>
      </rPr>
      <t>Σ</t>
    </r>
    <r>
      <rPr>
        <b/>
        <sz val="11"/>
        <rFont val="Symbol"/>
        <family val="1"/>
      </rPr>
      <t>j</t>
    </r>
    <r>
      <rPr>
        <b/>
        <sz val="11"/>
        <rFont val="Arial"/>
        <family val="2"/>
      </rPr>
      <t>·Q_vorh. = (M) x FELD (E48)</t>
    </r>
  </si>
  <si>
    <r>
      <t xml:space="preserve">Liegt der Belag </t>
    </r>
    <r>
      <rPr>
        <u val="single"/>
        <sz val="11"/>
        <rFont val="Arial"/>
        <family val="2"/>
      </rPr>
      <t>auf einem nachgiebigem</t>
    </r>
    <r>
      <rPr>
        <sz val="11"/>
        <rFont val="Arial"/>
        <family val="2"/>
      </rPr>
      <t xml:space="preserve"> (Stab -) Tragwerk mit zul. Durchbiegung Lx/300 unter Vollast auf, so wird biegezug - bedingt eine UB - Stärke von 160 mm erforderlich! Negativwerte für zul.red.φ·Q bei sehr schlankem UB bedeuten, dass dessen zul. Biegezugspannung allein schon</t>
    </r>
  </si>
  <si>
    <r>
      <t xml:space="preserve"> </t>
    </r>
    <r>
      <rPr>
        <sz val="11"/>
        <rFont val="Arial"/>
        <family val="2"/>
      </rPr>
      <t>durch den wirksamen Spannungseinfluss der Flächenlast q (Feld E50) überschritten ist!</t>
    </r>
  </si>
  <si>
    <t>Typenwahl / Bezeichnung (fakultativ eintragen):</t>
  </si>
  <si>
    <r>
      <t xml:space="preserve">Typ </t>
    </r>
    <r>
      <rPr>
        <b/>
        <sz val="11"/>
        <rFont val="Arial"/>
        <family val="2"/>
      </rPr>
      <t>oberste</t>
    </r>
    <r>
      <rPr>
        <sz val="11"/>
        <rFont val="Arial"/>
        <family val="2"/>
      </rPr>
      <t xml:space="preserve"> Lage / Bezeichnung (fakultativ):</t>
    </r>
  </si>
  <si>
    <r>
      <t xml:space="preserve">Typ </t>
    </r>
    <r>
      <rPr>
        <b/>
        <sz val="11"/>
        <rFont val="Arial"/>
        <family val="2"/>
      </rPr>
      <t>zweite</t>
    </r>
    <r>
      <rPr>
        <sz val="11"/>
        <rFont val="Arial"/>
        <family val="2"/>
      </rPr>
      <t xml:space="preserve"> Lage / Bezeichnung (fakultativ):</t>
    </r>
  </si>
  <si>
    <r>
      <t xml:space="preserve">Kontrolle </t>
    </r>
    <r>
      <rPr>
        <b/>
        <u val="single"/>
        <sz val="11"/>
        <color indexed="10"/>
        <rFont val="Arial"/>
        <family val="2"/>
      </rPr>
      <t>nach</t>
    </r>
    <r>
      <rPr>
        <b/>
        <sz val="11"/>
        <color indexed="10"/>
        <rFont val="Arial"/>
        <family val="2"/>
      </rPr>
      <t xml:space="preserve"> der Berechnung: E_U muss ≥ sein als das E - Dämmstoffmittel laut Feld E70 =</t>
    </r>
  </si>
  <si>
    <t>● Allfällige Negativwerte für zul.φ·Q bezüglich zul.(σ_bz) --&gt; d.h. biegezug - bedingt, sind die Folge einer sehr harten Lagerung (ohne Dämmung auf Beton, Fels etc.) und grundsätzlich nicht relevant (dito Verformungen). Negativwerte für zul.red.φ·Q. (σ_bz) [kN] hingegen bedeuten, dass schon die Flächenlast allein eine Überbeanspruchung im UB bewirkt!</t>
  </si>
  <si>
    <r>
      <t>zul.red.</t>
    </r>
    <r>
      <rPr>
        <b/>
        <sz val="10"/>
        <rFont val="Symbol"/>
        <family val="1"/>
      </rPr>
      <t>j</t>
    </r>
    <r>
      <rPr>
        <b/>
        <sz val="10"/>
        <rFont val="Arial"/>
        <family val="2"/>
      </rPr>
      <t>·Q (σ_bz) [kN]</t>
    </r>
  </si>
  <si>
    <t>Schwimmende Estriche UB Traglastnachweis 2 von 2.pdf</t>
  </si>
  <si>
    <r>
      <t>ERGÄNZENDE AUSFÜHRUNGEN FERNER UNTER DEM LINK:</t>
    </r>
    <r>
      <rPr>
        <b/>
        <i/>
        <sz val="11"/>
        <color indexed="12"/>
        <rFont val="Arial"/>
        <family val="2"/>
      </rPr>
      <t xml:space="preserve"> </t>
    </r>
  </si>
  <si>
    <t>Hellgelb nur bei nachgiebigem Tragwerk erforderlich</t>
  </si>
  <si>
    <t>0.059 (0.055*)</t>
  </si>
  <si>
    <t>* kombiniert mit Isocalor</t>
  </si>
  <si>
    <t>0.355 (0.082*;0.172**)</t>
  </si>
  <si>
    <t>** kombiniert mit PS81</t>
  </si>
  <si>
    <r>
      <t xml:space="preserve"> </t>
    </r>
    <r>
      <rPr>
        <sz val="10"/>
        <color indexed="12"/>
        <rFont val="Arial"/>
        <family val="2"/>
      </rPr>
      <t xml:space="preserve">*, ** siehe dazu auch Kommentar in: </t>
    </r>
  </si>
  <si>
    <t>~ 3 - 7</t>
  </si>
  <si>
    <r>
      <t>Wieder</t>
    </r>
    <r>
      <rPr>
        <u val="single"/>
        <sz val="11"/>
        <rFont val="Arial"/>
        <family val="2"/>
      </rPr>
      <t xml:space="preserve"> auf starrer Unterlage</t>
    </r>
    <r>
      <rPr>
        <sz val="11"/>
        <rFont val="Arial"/>
        <family val="2"/>
      </rPr>
      <t xml:space="preserve">, hier aber </t>
    </r>
    <r>
      <rPr>
        <u val="single"/>
        <sz val="11"/>
        <rFont val="Arial"/>
        <family val="2"/>
      </rPr>
      <t>mit Lastgruppe</t>
    </r>
    <r>
      <rPr>
        <sz val="11"/>
        <rFont val="Arial"/>
        <family val="2"/>
      </rPr>
      <t xml:space="preserve"> aus Regalfüssen (Achsmass 1000 x 1000 mm, 6 Füsse) wird Plattenstärke d = 180 mm benötigt, denn bei 180 mm beträgt der Multiplikator ca. 3.78 und die wirksame Einzellast somit 3.78 x 4 kN = 15.12 kN &lt; 15.58 kN = zulässig.</t>
    </r>
  </si>
  <si>
    <r>
      <t>Rückwärtsrechnung</t>
    </r>
    <r>
      <rPr>
        <sz val="11"/>
        <rFont val="Arial"/>
        <family val="2"/>
      </rPr>
      <t xml:space="preserve">: Steht eine </t>
    </r>
    <r>
      <rPr>
        <u val="single"/>
        <sz val="11"/>
        <rFont val="Arial"/>
        <family val="2"/>
      </rPr>
      <t>Regalfuss - Gruppe  auf nachgiebigen Tragwerk</t>
    </r>
    <r>
      <rPr>
        <sz val="11"/>
        <rFont val="Arial"/>
        <family val="2"/>
      </rPr>
      <t xml:space="preserve"> (s. oben), so leitet sich - bei maximaler Plattenstärke d = 200 mm und damit zulässigen 7.97 kN "nachgiebig gelagert" -  über den massgebenden  Multiplikator M ~ 3.87 eine nominelle Einzellast</t>
    </r>
  </si>
  <si>
    <t xml:space="preserve"> von max. / nur je 7.97kN / 3.87 ~ 2.06 kN pro Regalfuss ab! 4 kN pro Fuss (Vorgabe) wären damit nicht erlaubt. Druckspannung und Schubspannung hingegen sind  bei keinem der vier Beispiele bestimmend!</t>
  </si>
  <si>
    <t>(** siehe dazu Richtwerte, unten)</t>
  </si>
  <si>
    <r>
      <t xml:space="preserve">Ausgehend vom fixierten Eingabebeispiel (gelbe Felder) resultiert </t>
    </r>
    <r>
      <rPr>
        <u val="single"/>
        <sz val="11"/>
        <rFont val="Arial"/>
        <family val="2"/>
      </rPr>
      <t>auf starrer Unterlage</t>
    </r>
    <r>
      <rPr>
        <sz val="11"/>
        <rFont val="Arial"/>
        <family val="2"/>
      </rPr>
      <t xml:space="preserve"> die Biegezugspannung als bestimmende Grösse, und daraus eine erforderliche Plattenstärke  von 90 mm. </t>
    </r>
  </si>
  <si>
    <t>Hilfswert zu</t>
  </si>
  <si>
    <t>Korrekturfaktor</t>
  </si>
  <si>
    <t>Korrekturfaktor***</t>
  </si>
  <si>
    <t xml:space="preserve">            Anpassung 01. 08. 2012 </t>
  </si>
  <si>
    <r>
      <t xml:space="preserve"> ----&gt; </t>
    </r>
    <r>
      <rPr>
        <sz val="10"/>
        <color indexed="50"/>
        <rFont val="Arial"/>
        <family val="2"/>
      </rPr>
      <t xml:space="preserve">     </t>
    </r>
    <r>
      <rPr>
        <u val="single"/>
        <sz val="10"/>
        <color indexed="50"/>
        <rFont val="Arial"/>
        <family val="2"/>
      </rPr>
      <t>Korrekturfaktor zu Spalten B und C</t>
    </r>
    <r>
      <rPr>
        <sz val="10"/>
        <color indexed="50"/>
        <rFont val="Arial"/>
        <family val="2"/>
      </rPr>
      <t>, je nach Aufstandsfläche (eingerechnet)***</t>
    </r>
  </si>
  <si>
    <t xml:space="preserve">                               ALLGEMEINE HILFS - UND ZWISCHENWERTE</t>
  </si>
  <si>
    <t>Mai 2013: Mit modifizierter Formel für Resultatfelder J59 resp. E70</t>
  </si>
  <si>
    <t>FOAMGLAS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</si>
</sst>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ymbol"/>
      <family val="1"/>
    </font>
    <font>
      <sz val="11"/>
      <name val="Symbol"/>
      <family val="1"/>
    </font>
    <font>
      <b/>
      <sz val="11"/>
      <color indexed="10"/>
      <name val="Arial"/>
      <family val="2"/>
    </font>
    <font>
      <b/>
      <sz val="11"/>
      <color indexed="10"/>
      <name val="Symbol"/>
      <family val="1"/>
    </font>
    <font>
      <sz val="10"/>
      <color indexed="10"/>
      <name val="Arial"/>
      <family val="2"/>
    </font>
    <font>
      <u val="single"/>
      <sz val="11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10"/>
      <color indexed="47"/>
      <name val="Arial"/>
      <family val="2"/>
    </font>
    <font>
      <i/>
      <sz val="10"/>
      <color indexed="14"/>
      <name val="Arial"/>
      <family val="2"/>
    </font>
    <font>
      <b/>
      <sz val="11"/>
      <name val="Symbol"/>
      <family val="1"/>
    </font>
    <font>
      <b/>
      <u val="single"/>
      <sz val="11"/>
      <name val="Arial"/>
      <family val="2"/>
    </font>
    <font>
      <b/>
      <sz val="10"/>
      <name val="Symbol"/>
      <family val="1"/>
    </font>
    <font>
      <sz val="11"/>
      <color indexed="14"/>
      <name val="Arial"/>
      <family val="2"/>
    </font>
    <font>
      <sz val="11"/>
      <color indexed="14"/>
      <name val="Symbol"/>
      <family val="1"/>
    </font>
    <font>
      <sz val="10"/>
      <color indexed="14"/>
      <name val="Arial"/>
      <family val="2"/>
    </font>
    <font>
      <sz val="10"/>
      <color indexed="5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50"/>
      <name val="Arial"/>
      <family val="2"/>
    </font>
    <font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ashed"/>
      <right style="dashed"/>
      <top style="thick"/>
      <bottom>
        <color indexed="63"/>
      </bottom>
    </border>
    <border>
      <left style="dashed"/>
      <right style="medium"/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>
        <color indexed="63"/>
      </left>
      <right style="dashed"/>
      <top>
        <color indexed="63"/>
      </top>
      <bottom style="thick"/>
    </border>
    <border>
      <left style="thick"/>
      <right style="dashed"/>
      <top style="thick"/>
      <bottom>
        <color indexed="63"/>
      </bottom>
    </border>
    <border>
      <left style="dashed"/>
      <right style="thick"/>
      <top style="thick"/>
      <bottom>
        <color indexed="63"/>
      </bottom>
    </border>
    <border>
      <left style="thick"/>
      <right style="dashed"/>
      <top>
        <color indexed="63"/>
      </top>
      <bottom style="thick"/>
    </border>
    <border>
      <left style="thick"/>
      <right style="dashed"/>
      <top>
        <color indexed="63"/>
      </top>
      <bottom>
        <color indexed="63"/>
      </bottom>
    </border>
    <border>
      <left style="medium"/>
      <right style="dashed"/>
      <top style="thick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 style="thick"/>
      <top style="mediumDashed"/>
      <bottom>
        <color indexed="63"/>
      </bottom>
    </border>
    <border>
      <left style="thick"/>
      <right style="dashed"/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dashed"/>
      <top style="mediumDashed"/>
      <bottom>
        <color indexed="63"/>
      </bottom>
    </border>
    <border>
      <left>
        <color indexed="63"/>
      </left>
      <right style="dashed"/>
      <top style="mediumDashed"/>
      <bottom>
        <color indexed="63"/>
      </bottom>
    </border>
    <border>
      <left style="dashed"/>
      <right style="dashed"/>
      <top style="mediumDashed"/>
      <bottom>
        <color indexed="63"/>
      </bottom>
    </border>
    <border>
      <left style="dashed"/>
      <right style="medium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ashed"/>
      <right style="thick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3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36" borderId="2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4" fillId="0" borderId="25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37" borderId="32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3" xfId="0" applyFill="1" applyBorder="1" applyAlignment="1">
      <alignment/>
    </xf>
    <xf numFmtId="0" fontId="4" fillId="37" borderId="17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2" fillId="40" borderId="34" xfId="0" applyFont="1" applyFill="1" applyBorder="1" applyAlignment="1">
      <alignment/>
    </xf>
    <xf numFmtId="0" fontId="2" fillId="40" borderId="34" xfId="0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5" borderId="17" xfId="0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3" xfId="0" applyFill="1" applyBorder="1" applyAlignment="1">
      <alignment/>
    </xf>
    <xf numFmtId="0" fontId="4" fillId="35" borderId="32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/>
    </xf>
    <xf numFmtId="0" fontId="2" fillId="4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Fill="1" applyAlignment="1">
      <alignment/>
    </xf>
    <xf numFmtId="0" fontId="4" fillId="41" borderId="17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43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41" borderId="5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5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3" borderId="19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4" fillId="43" borderId="25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4" fillId="40" borderId="5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8" fillId="38" borderId="12" xfId="0" applyFont="1" applyFill="1" applyBorder="1" applyAlignment="1">
      <alignment/>
    </xf>
    <xf numFmtId="0" fontId="28" fillId="38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Alignment="1">
      <alignment/>
    </xf>
    <xf numFmtId="0" fontId="4" fillId="44" borderId="5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4" fillId="44" borderId="10" xfId="0" applyFont="1" applyFill="1" applyBorder="1" applyAlignment="1">
      <alignment/>
    </xf>
    <xf numFmtId="0" fontId="4" fillId="4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0" xfId="48" applyFont="1" applyAlignment="1" applyProtection="1">
      <alignment/>
      <protection/>
    </xf>
    <xf numFmtId="0" fontId="3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44" borderId="54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34" fillId="0" borderId="13" xfId="0" applyFont="1" applyBorder="1" applyAlignment="1">
      <alignment/>
    </xf>
    <xf numFmtId="0" fontId="29" fillId="0" borderId="0" xfId="48" applyFont="1" applyAlignment="1" applyProtection="1">
      <alignment/>
      <protection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5" borderId="0" xfId="0" applyFont="1" applyFill="1" applyAlignment="1">
      <alignment horizontal="center"/>
    </xf>
    <xf numFmtId="0" fontId="0" fillId="46" borderId="12" xfId="0" applyFont="1" applyFill="1" applyBorder="1" applyAlignment="1">
      <alignment horizontal="center"/>
    </xf>
    <xf numFmtId="0" fontId="0" fillId="46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0" fillId="0" borderId="39" xfId="0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kopriority.com/upload/download/Schwimmende_Estriche_UB_Traglastnachweis_2_von_2.pdf" TargetMode="External" /><Relationship Id="rId2" Type="http://schemas.openxmlformats.org/officeDocument/2006/relationships/hyperlink" Target="http://www.oekopriority.com/upload/download/Schwimmende_Estriche_UB_Traglastnachweis_2_von_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tabSelected="1" zoomScalePageLayoutView="0" workbookViewId="0" topLeftCell="A21">
      <selection activeCell="I34" sqref="I34"/>
    </sheetView>
  </sheetViews>
  <sheetFormatPr defaultColWidth="11.421875" defaultRowHeight="12.75"/>
  <cols>
    <col min="1" max="1" width="29.140625" style="0" customWidth="1"/>
    <col min="2" max="2" width="17.7109375" style="0" customWidth="1"/>
    <col min="3" max="3" width="19.140625" style="0" customWidth="1"/>
    <col min="4" max="4" width="15.8515625" style="0" customWidth="1"/>
    <col min="5" max="5" width="21.00390625" style="0" customWidth="1"/>
    <col min="6" max="6" width="13.00390625" style="0" customWidth="1"/>
    <col min="7" max="7" width="18.8515625" style="0" customWidth="1"/>
    <col min="8" max="8" width="21.7109375" style="0" customWidth="1"/>
    <col min="9" max="9" width="23.28125" style="0" customWidth="1"/>
    <col min="10" max="10" width="19.421875" style="0" customWidth="1"/>
    <col min="11" max="11" width="17.7109375" style="0" customWidth="1"/>
    <col min="12" max="12" width="20.421875" style="0" customWidth="1"/>
    <col min="13" max="13" width="21.8515625" style="0" customWidth="1"/>
    <col min="14" max="14" width="15.00390625" style="0" customWidth="1"/>
    <col min="15" max="15" width="17.7109375" style="0" customWidth="1"/>
    <col min="16" max="16" width="18.140625" style="0" customWidth="1"/>
    <col min="17" max="17" width="9.7109375" style="0" customWidth="1"/>
    <col min="18" max="18" width="10.421875" style="0" customWidth="1"/>
    <col min="19" max="19" width="11.8515625" style="0" customWidth="1"/>
    <col min="20" max="20" width="15.57421875" style="0" customWidth="1"/>
    <col min="21" max="21" width="12.421875" style="0" bestFit="1" customWidth="1"/>
    <col min="22" max="22" width="12.140625" style="0" customWidth="1"/>
    <col min="23" max="23" width="10.7109375" style="0" customWidth="1"/>
    <col min="24" max="24" width="9.8515625" style="0" customWidth="1"/>
    <col min="26" max="26" width="13.00390625" style="0" customWidth="1"/>
    <col min="27" max="27" width="15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4" ht="17.25">
      <c r="A2" s="29" t="s">
        <v>143</v>
      </c>
      <c r="B2" s="29"/>
      <c r="C2" s="29"/>
      <c r="D2" s="29"/>
      <c r="E2" s="29"/>
      <c r="F2" s="29"/>
      <c r="G2" s="29"/>
      <c r="H2" s="24"/>
      <c r="I2" s="24"/>
      <c r="J2" s="24"/>
      <c r="K2" s="1"/>
      <c r="L2" s="1"/>
      <c r="M2" s="1"/>
      <c r="N2" s="1"/>
    </row>
    <row r="3" spans="1:10" ht="17.25">
      <c r="A3" s="29" t="s">
        <v>0</v>
      </c>
      <c r="B3" s="29"/>
      <c r="C3" s="29"/>
      <c r="D3" s="29"/>
      <c r="E3" s="29"/>
      <c r="F3" s="29"/>
      <c r="G3" s="29"/>
      <c r="H3" s="21"/>
      <c r="I3" s="21"/>
      <c r="J3" s="21"/>
    </row>
    <row r="4" spans="1:10" ht="13.5">
      <c r="A4" s="250" t="s">
        <v>75</v>
      </c>
      <c r="B4" s="21"/>
      <c r="C4" s="21"/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47" t="s">
        <v>147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>
      <c r="A7" s="249" t="s">
        <v>159</v>
      </c>
      <c r="B7" s="21"/>
      <c r="C7" s="21"/>
      <c r="D7" s="248" t="s">
        <v>158</v>
      </c>
      <c r="E7" s="151"/>
      <c r="F7" s="151"/>
      <c r="G7" s="21"/>
      <c r="H7" s="21"/>
      <c r="I7" s="21"/>
      <c r="J7" s="21"/>
    </row>
    <row r="8" spans="1:10" ht="18" thickBot="1">
      <c r="A8" s="29"/>
      <c r="B8" s="25"/>
      <c r="C8" s="25"/>
      <c r="D8" s="25"/>
      <c r="E8" s="202"/>
      <c r="F8" s="25"/>
      <c r="G8" s="25"/>
      <c r="H8" s="25"/>
      <c r="I8" s="25"/>
      <c r="J8" s="21"/>
    </row>
    <row r="9" spans="1:10" ht="15" thickBot="1" thickTop="1">
      <c r="A9" s="51" t="s">
        <v>59</v>
      </c>
      <c r="B9" s="52"/>
      <c r="C9" s="203" t="s">
        <v>160</v>
      </c>
      <c r="D9" s="204"/>
      <c r="E9" s="251"/>
      <c r="H9" s="21"/>
      <c r="I9" s="21"/>
      <c r="J9" s="21"/>
    </row>
    <row r="10" ht="13.5" thickTop="1"/>
    <row r="11" spans="1:4" ht="13.5">
      <c r="A11" s="31" t="s">
        <v>1</v>
      </c>
      <c r="B11" s="2"/>
      <c r="C11" s="2"/>
      <c r="D11" s="2"/>
    </row>
    <row r="12" ht="13.5" thickBot="1"/>
    <row r="13" spans="2:10" ht="15" thickBot="1" thickTop="1">
      <c r="B13" s="3" t="s">
        <v>152</v>
      </c>
      <c r="E13" s="193" t="s">
        <v>136</v>
      </c>
      <c r="F13" s="4"/>
      <c r="G13" s="5"/>
      <c r="H13" s="11"/>
      <c r="I13" s="11"/>
      <c r="J13" s="11"/>
    </row>
    <row r="14" ht="14.25" thickBot="1" thickTop="1"/>
    <row r="15" spans="2:6" ht="15" thickBot="1" thickTop="1">
      <c r="B15" s="3" t="s">
        <v>2</v>
      </c>
      <c r="E15" s="194">
        <v>34000</v>
      </c>
      <c r="F15" s="9" t="s">
        <v>4</v>
      </c>
    </row>
    <row r="16" ht="14.25" thickBot="1" thickTop="1">
      <c r="E16" s="6"/>
    </row>
    <row r="17" spans="2:7" ht="15" thickBot="1" thickTop="1">
      <c r="B17" s="3" t="s">
        <v>3</v>
      </c>
      <c r="E17" s="194">
        <v>2.5</v>
      </c>
      <c r="F17" s="9" t="s">
        <v>4</v>
      </c>
      <c r="G17" s="3" t="s">
        <v>28</v>
      </c>
    </row>
    <row r="18" ht="13.5" thickTop="1">
      <c r="E18" s="6"/>
    </row>
    <row r="19" ht="12.75">
      <c r="E19" s="6"/>
    </row>
    <row r="20" spans="1:5" ht="13.5">
      <c r="A20" s="31" t="s">
        <v>5</v>
      </c>
      <c r="E20" s="6"/>
    </row>
    <row r="21" ht="13.5" thickBot="1">
      <c r="E21" s="6"/>
    </row>
    <row r="22" spans="2:10" ht="15" thickBot="1" thickTop="1">
      <c r="B22" s="3" t="s">
        <v>153</v>
      </c>
      <c r="E22" s="193" t="s">
        <v>112</v>
      </c>
      <c r="F22" s="4"/>
      <c r="G22" s="5"/>
      <c r="H22" s="11"/>
      <c r="I22" s="11"/>
      <c r="J22" s="11"/>
    </row>
    <row r="23" ht="14.25" thickBot="1" thickTop="1">
      <c r="E23" s="6"/>
    </row>
    <row r="24" spans="2:6" ht="15" thickBot="1" thickTop="1">
      <c r="B24" s="3" t="s">
        <v>6</v>
      </c>
      <c r="E24" s="194">
        <v>0.059</v>
      </c>
      <c r="F24" s="8" t="s">
        <v>4</v>
      </c>
    </row>
    <row r="25" ht="14.25" thickBot="1" thickTop="1">
      <c r="E25" s="6"/>
    </row>
    <row r="26" spans="2:6" ht="15" thickBot="1" thickTop="1">
      <c r="B26" s="3" t="s">
        <v>7</v>
      </c>
      <c r="E26" s="194">
        <v>30</v>
      </c>
      <c r="F26" s="8" t="s">
        <v>8</v>
      </c>
    </row>
    <row r="27" ht="13.5" thickTop="1">
      <c r="E27" s="6"/>
    </row>
    <row r="28" ht="13.5" thickBot="1">
      <c r="E28" s="6"/>
    </row>
    <row r="29" spans="2:10" ht="15" thickBot="1" thickTop="1">
      <c r="B29" s="3" t="s">
        <v>154</v>
      </c>
      <c r="E29" s="193" t="s">
        <v>137</v>
      </c>
      <c r="F29" s="4" t="s">
        <v>170</v>
      </c>
      <c r="G29" s="5"/>
      <c r="H29" s="11"/>
      <c r="I29" s="11"/>
      <c r="J29" s="11"/>
    </row>
    <row r="30" ht="14.25" thickBot="1" thickTop="1">
      <c r="E30" s="6"/>
    </row>
    <row r="31" spans="2:7" ht="15" thickBot="1" thickTop="1">
      <c r="B31" s="3" t="s">
        <v>9</v>
      </c>
      <c r="E31" s="194">
        <v>0.172</v>
      </c>
      <c r="F31" s="8" t="s">
        <v>4</v>
      </c>
      <c r="G31" s="3"/>
    </row>
    <row r="32" ht="14.25" thickBot="1" thickTop="1">
      <c r="E32" s="6"/>
    </row>
    <row r="33" spans="2:6" ht="15" thickBot="1" thickTop="1">
      <c r="B33" s="3" t="s">
        <v>10</v>
      </c>
      <c r="E33" s="194">
        <v>160</v>
      </c>
      <c r="F33" s="8" t="s">
        <v>8</v>
      </c>
    </row>
    <row r="34" ht="13.5" thickTop="1">
      <c r="E34" s="6"/>
    </row>
    <row r="35" ht="13.5" thickBot="1">
      <c r="E35" s="6"/>
    </row>
    <row r="36" spans="2:10" ht="15" thickBot="1" thickTop="1">
      <c r="B36" s="3" t="s">
        <v>79</v>
      </c>
      <c r="E36" s="193" t="s">
        <v>179</v>
      </c>
      <c r="F36" s="4"/>
      <c r="G36" s="5"/>
      <c r="H36" s="11"/>
      <c r="I36" s="11"/>
      <c r="J36" s="11"/>
    </row>
    <row r="37" ht="14.25" thickBot="1" thickTop="1">
      <c r="E37" s="6"/>
    </row>
    <row r="38" spans="2:11" ht="15" thickBot="1" thickTop="1">
      <c r="B38" s="3" t="s">
        <v>11</v>
      </c>
      <c r="E38" s="194">
        <v>100</v>
      </c>
      <c r="F38" s="8" t="s">
        <v>4</v>
      </c>
      <c r="K38" s="46"/>
    </row>
    <row r="39" ht="14.25" thickBot="1" thickTop="1">
      <c r="E39" s="6"/>
    </row>
    <row r="40" spans="2:6" ht="15" thickBot="1" thickTop="1">
      <c r="B40" s="3" t="s">
        <v>12</v>
      </c>
      <c r="E40" s="194">
        <v>60</v>
      </c>
      <c r="F40" s="8" t="s">
        <v>43</v>
      </c>
    </row>
    <row r="41" ht="13.5" thickTop="1">
      <c r="E41" s="6"/>
    </row>
    <row r="42" ht="13.5" thickBot="1">
      <c r="E42" s="6"/>
    </row>
    <row r="43" spans="2:7" ht="15" thickBot="1" thickTop="1">
      <c r="B43" s="2" t="s">
        <v>76</v>
      </c>
      <c r="E43" s="194">
        <v>0.0025</v>
      </c>
      <c r="F43" s="8" t="s">
        <v>4</v>
      </c>
      <c r="G43" s="3" t="s">
        <v>91</v>
      </c>
    </row>
    <row r="44" spans="5:7" ht="14.25" thickTop="1">
      <c r="E44" s="6"/>
      <c r="G44" s="7" t="s">
        <v>129</v>
      </c>
    </row>
    <row r="45" ht="12.75">
      <c r="E45" s="6"/>
    </row>
    <row r="46" spans="1:5" ht="13.5">
      <c r="A46" s="31" t="s">
        <v>17</v>
      </c>
      <c r="E46" s="6"/>
    </row>
    <row r="47" ht="13.5" thickBot="1">
      <c r="E47" s="6"/>
    </row>
    <row r="48" spans="2:7" ht="15" thickBot="1" thickTop="1">
      <c r="B48" s="105" t="s">
        <v>81</v>
      </c>
      <c r="C48" s="106"/>
      <c r="D48" s="106"/>
      <c r="E48" s="195">
        <v>4</v>
      </c>
      <c r="F48" s="8" t="s">
        <v>13</v>
      </c>
      <c r="G48" s="3" t="s">
        <v>77</v>
      </c>
    </row>
    <row r="49" spans="2:9" ht="14.25" thickBot="1" thickTop="1">
      <c r="B49" s="50" t="s">
        <v>58</v>
      </c>
      <c r="C49" s="49"/>
      <c r="E49" s="6"/>
      <c r="G49" s="111" t="s">
        <v>148</v>
      </c>
      <c r="H49" s="111"/>
      <c r="I49" s="111"/>
    </row>
    <row r="50" spans="2:7" ht="15" thickBot="1" thickTop="1">
      <c r="B50" s="3" t="s">
        <v>31</v>
      </c>
      <c r="E50" s="201">
        <v>4</v>
      </c>
      <c r="F50" s="8" t="s">
        <v>29</v>
      </c>
      <c r="G50" s="26" t="s">
        <v>55</v>
      </c>
    </row>
    <row r="51" spans="2:5" ht="14.25" thickBot="1" thickTop="1">
      <c r="B51" s="27" t="s">
        <v>30</v>
      </c>
      <c r="E51" s="6"/>
    </row>
    <row r="52" spans="2:7" ht="15" thickBot="1" thickTop="1">
      <c r="B52" s="7" t="s">
        <v>60</v>
      </c>
      <c r="E52" s="201">
        <v>3</v>
      </c>
      <c r="F52" s="8" t="s">
        <v>41</v>
      </c>
      <c r="G52" s="26" t="s">
        <v>42</v>
      </c>
    </row>
    <row r="53" spans="2:5" ht="14.25" thickBot="1" thickTop="1">
      <c r="B53" s="27" t="s">
        <v>30</v>
      </c>
      <c r="E53" s="6"/>
    </row>
    <row r="54" spans="2:6" ht="15" thickBot="1" thickTop="1">
      <c r="B54" s="7" t="s">
        <v>39</v>
      </c>
      <c r="E54" s="201">
        <v>22</v>
      </c>
      <c r="F54" s="8" t="s">
        <v>40</v>
      </c>
    </row>
    <row r="55" spans="2:5" ht="14.25" thickBot="1" thickTop="1">
      <c r="B55" s="27" t="s">
        <v>30</v>
      </c>
      <c r="E55" s="6"/>
    </row>
    <row r="56" spans="2:9" ht="15" thickBot="1" thickTop="1">
      <c r="B56" s="7" t="s">
        <v>14</v>
      </c>
      <c r="E56" s="194">
        <v>2500</v>
      </c>
      <c r="F56" s="8" t="s">
        <v>15</v>
      </c>
      <c r="G56" s="31" t="s">
        <v>90</v>
      </c>
      <c r="H56" s="145"/>
      <c r="I56" s="145"/>
    </row>
    <row r="57" ht="14.25" thickBot="1" thickTop="1">
      <c r="E57" s="6"/>
    </row>
    <row r="58" spans="2:10" ht="15" thickBot="1" thickTop="1">
      <c r="B58" s="3" t="s">
        <v>16</v>
      </c>
      <c r="E58" s="194">
        <v>100000</v>
      </c>
      <c r="F58" s="8" t="s">
        <v>4</v>
      </c>
      <c r="G58" s="3" t="s">
        <v>56</v>
      </c>
      <c r="H58" s="46"/>
      <c r="I58" s="46"/>
      <c r="J58" s="46"/>
    </row>
    <row r="59" spans="5:11" ht="14.25" thickTop="1">
      <c r="E59" s="196" t="s">
        <v>155</v>
      </c>
      <c r="J59" s="199">
        <f>(E70)</f>
        <v>0.174</v>
      </c>
      <c r="K59" s="200" t="s">
        <v>4</v>
      </c>
    </row>
    <row r="60" ht="13.5">
      <c r="A60" s="2" t="s">
        <v>69</v>
      </c>
    </row>
    <row r="62" ht="13.5">
      <c r="A62" s="7" t="s">
        <v>70</v>
      </c>
    </row>
    <row r="63" ht="13.5">
      <c r="A63" s="3" t="s">
        <v>130</v>
      </c>
    </row>
    <row r="64" ht="13.5">
      <c r="A64" s="3" t="s">
        <v>131</v>
      </c>
    </row>
    <row r="65" ht="13.5">
      <c r="A65" t="s">
        <v>71</v>
      </c>
    </row>
    <row r="66" ht="13.5">
      <c r="A66" s="3" t="s">
        <v>132</v>
      </c>
    </row>
    <row r="67" spans="1:24" ht="13.5">
      <c r="A67" s="108" t="s">
        <v>156</v>
      </c>
      <c r="B67" s="11"/>
      <c r="C67" s="11"/>
      <c r="D67" s="11"/>
      <c r="E67" s="14"/>
      <c r="F67" s="11"/>
      <c r="G67" s="11"/>
      <c r="H67" s="11"/>
      <c r="I67" s="11"/>
      <c r="J67" s="11"/>
      <c r="K67" s="11"/>
      <c r="X67" s="46"/>
    </row>
    <row r="68" spans="1:11" ht="13.5">
      <c r="A68" s="3" t="s">
        <v>133</v>
      </c>
      <c r="B68" s="109"/>
      <c r="C68" s="11"/>
      <c r="D68" s="11"/>
      <c r="E68" s="11"/>
      <c r="F68" s="107"/>
      <c r="G68" s="109"/>
      <c r="H68" s="110"/>
      <c r="I68" s="110"/>
      <c r="J68" s="110"/>
      <c r="K68" s="11"/>
    </row>
    <row r="69" spans="1:7" ht="14.25" thickBot="1">
      <c r="A69" s="3" t="s">
        <v>80</v>
      </c>
      <c r="E69" s="11"/>
      <c r="F69" s="11"/>
      <c r="G69" s="154"/>
    </row>
    <row r="70" spans="1:6" ht="15" thickBot="1" thickTop="1">
      <c r="A70" s="88" t="s">
        <v>78</v>
      </c>
      <c r="B70" s="167"/>
      <c r="C70" s="167"/>
      <c r="D70" s="167"/>
      <c r="E70" s="112">
        <f>ROUND((((E24+0.00001)*(E31+0.00002)*(E38+0.00003))*(E26+E33+E40))/((E24+0.00001)*(E31+0.00002)*E40+(E24+0.00001)*(E38+0.00003)*E33+(E31+0.00002)*(E38+0.00003)*E26),3)</f>
        <v>0.174</v>
      </c>
      <c r="F70" s="168" t="s">
        <v>4</v>
      </c>
    </row>
    <row r="71" ht="13.5" thickTop="1">
      <c r="E71" s="10"/>
    </row>
    <row r="72" spans="1:9" ht="13.5">
      <c r="A72" s="12" t="s">
        <v>57</v>
      </c>
      <c r="B72" s="13"/>
      <c r="C72" s="13"/>
      <c r="D72" s="13"/>
      <c r="E72" s="13"/>
      <c r="F72" s="13"/>
      <c r="G72" s="13"/>
      <c r="H72" s="13"/>
      <c r="I72" s="13"/>
    </row>
    <row r="73" spans="1:27" ht="12.75">
      <c r="A73" s="27" t="s">
        <v>128</v>
      </c>
      <c r="J73" s="13"/>
      <c r="L73" s="11"/>
      <c r="M73" s="11"/>
      <c r="AA73" s="11"/>
    </row>
    <row r="74" spans="12:27" ht="14.25" thickBot="1">
      <c r="L74" s="11"/>
      <c r="M74" s="11"/>
      <c r="P74" s="30"/>
      <c r="Q74" s="166"/>
      <c r="AA74" s="11"/>
    </row>
    <row r="75" spans="1:27" ht="15" thickBot="1" thickTop="1">
      <c r="A75" s="34"/>
      <c r="B75" s="35"/>
      <c r="C75" s="36" t="s">
        <v>68</v>
      </c>
      <c r="D75" s="36"/>
      <c r="E75" s="36"/>
      <c r="F75" s="37"/>
      <c r="G75" s="38"/>
      <c r="H75" s="72" t="s">
        <v>141</v>
      </c>
      <c r="I75" s="73"/>
      <c r="J75" s="69" t="s">
        <v>149</v>
      </c>
      <c r="K75" s="70"/>
      <c r="L75" s="70"/>
      <c r="M75" s="71"/>
      <c r="N75" s="80"/>
      <c r="O75" s="43"/>
      <c r="P75" s="56" t="s">
        <v>177</v>
      </c>
      <c r="Q75" s="56"/>
      <c r="R75" s="56"/>
      <c r="S75" s="43"/>
      <c r="T75" s="43"/>
      <c r="U75" s="43"/>
      <c r="V75" s="43"/>
      <c r="W75" s="43"/>
      <c r="X75" s="43"/>
      <c r="Y75" s="43"/>
      <c r="Z75" s="43"/>
      <c r="AA75" s="44"/>
    </row>
    <row r="76" spans="1:27" ht="15" thickBot="1" thickTop="1">
      <c r="A76" s="33" t="s">
        <v>67</v>
      </c>
      <c r="B76" s="19" t="s">
        <v>61</v>
      </c>
      <c r="C76" s="39"/>
      <c r="D76" s="40" t="s">
        <v>62</v>
      </c>
      <c r="E76" s="39"/>
      <c r="F76" s="41" t="s">
        <v>63</v>
      </c>
      <c r="G76" s="42"/>
      <c r="H76" s="74" t="s">
        <v>64</v>
      </c>
      <c r="I76" s="75"/>
      <c r="J76" s="66" t="s">
        <v>72</v>
      </c>
      <c r="K76" s="67"/>
      <c r="L76" s="67"/>
      <c r="M76" s="68"/>
      <c r="N76" s="81" t="s">
        <v>73</v>
      </c>
      <c r="O76" s="82"/>
      <c r="P76" s="83"/>
      <c r="Q76" s="84" t="s">
        <v>74</v>
      </c>
      <c r="R76" s="85"/>
      <c r="S76" s="82"/>
      <c r="T76" s="82"/>
      <c r="U76" s="82"/>
      <c r="V76" s="82"/>
      <c r="W76" s="82"/>
      <c r="X76" s="82"/>
      <c r="Y76" s="82"/>
      <c r="Z76" s="82"/>
      <c r="AA76" s="83"/>
    </row>
    <row r="77" spans="1:27" ht="14.25" thickTop="1">
      <c r="A77" s="33" t="s">
        <v>37</v>
      </c>
      <c r="B77" s="140" t="s">
        <v>86</v>
      </c>
      <c r="C77" s="17" t="s">
        <v>36</v>
      </c>
      <c r="D77" s="142" t="s">
        <v>87</v>
      </c>
      <c r="E77" s="17" t="s">
        <v>35</v>
      </c>
      <c r="F77" s="144" t="s">
        <v>88</v>
      </c>
      <c r="G77" s="15" t="s">
        <v>34</v>
      </c>
      <c r="H77" s="142" t="s">
        <v>157</v>
      </c>
      <c r="I77" s="14" t="s">
        <v>65</v>
      </c>
      <c r="J77" s="94" t="s">
        <v>82</v>
      </c>
      <c r="K77" s="76" t="s">
        <v>83</v>
      </c>
      <c r="L77" s="77" t="s">
        <v>84</v>
      </c>
      <c r="M77" s="95" t="s">
        <v>85</v>
      </c>
      <c r="N77" s="92" t="s">
        <v>23</v>
      </c>
      <c r="O77" s="86" t="s">
        <v>50</v>
      </c>
      <c r="P77" s="87" t="s">
        <v>25</v>
      </c>
      <c r="Q77" s="78" t="s">
        <v>24</v>
      </c>
      <c r="R77" s="60" t="s">
        <v>27</v>
      </c>
      <c r="S77" s="60" t="s">
        <v>44</v>
      </c>
      <c r="T77" s="60" t="s">
        <v>45</v>
      </c>
      <c r="U77" s="60" t="s">
        <v>51</v>
      </c>
      <c r="V77" s="60" t="s">
        <v>48</v>
      </c>
      <c r="W77" s="60" t="s">
        <v>52</v>
      </c>
      <c r="X77" s="60" t="s">
        <v>53</v>
      </c>
      <c r="Y77" s="268" t="s">
        <v>54</v>
      </c>
      <c r="Z77" s="265" t="s">
        <v>172</v>
      </c>
      <c r="AA77" s="269" t="s">
        <v>174</v>
      </c>
    </row>
    <row r="78" spans="1:27" ht="13.5" thickBot="1">
      <c r="A78" s="16" t="s">
        <v>20</v>
      </c>
      <c r="B78" s="141" t="s">
        <v>19</v>
      </c>
      <c r="C78" s="18" t="s">
        <v>18</v>
      </c>
      <c r="D78" s="143" t="s">
        <v>19</v>
      </c>
      <c r="E78" s="18" t="s">
        <v>18</v>
      </c>
      <c r="F78" s="143" t="s">
        <v>19</v>
      </c>
      <c r="G78" s="15" t="s">
        <v>18</v>
      </c>
      <c r="H78" s="53" t="s">
        <v>66</v>
      </c>
      <c r="I78" s="91"/>
      <c r="J78" s="96" t="s">
        <v>134</v>
      </c>
      <c r="K78" s="79" t="s">
        <v>134</v>
      </c>
      <c r="L78" s="79" t="s">
        <v>134</v>
      </c>
      <c r="M78" s="97" t="s">
        <v>134</v>
      </c>
      <c r="N78" s="93" t="s">
        <v>18</v>
      </c>
      <c r="O78" s="57" t="s">
        <v>18</v>
      </c>
      <c r="P78" s="58" t="s">
        <v>26</v>
      </c>
      <c r="Q78" s="62" t="s">
        <v>89</v>
      </c>
      <c r="R78" s="63" t="s">
        <v>18</v>
      </c>
      <c r="S78" s="59" t="s">
        <v>22</v>
      </c>
      <c r="T78" s="59" t="s">
        <v>46</v>
      </c>
      <c r="U78" s="59" t="s">
        <v>47</v>
      </c>
      <c r="V78" s="79" t="s">
        <v>49</v>
      </c>
      <c r="W78" s="63" t="s">
        <v>18</v>
      </c>
      <c r="X78" s="64" t="s">
        <v>18</v>
      </c>
      <c r="Y78" s="64" t="s">
        <v>18</v>
      </c>
      <c r="Z78" s="30" t="s">
        <v>173</v>
      </c>
      <c r="AA78" s="270" t="s">
        <v>22</v>
      </c>
    </row>
    <row r="79" spans="1:27" ht="14.25" thickTop="1">
      <c r="A79" s="33"/>
      <c r="B79" s="113"/>
      <c r="C79" s="114"/>
      <c r="D79" s="115"/>
      <c r="E79" s="114"/>
      <c r="F79" s="260"/>
      <c r="G79" s="259"/>
      <c r="H79" s="116"/>
      <c r="I79" s="117"/>
      <c r="J79" s="276" t="s">
        <v>135</v>
      </c>
      <c r="K79" s="277"/>
      <c r="L79" s="277"/>
      <c r="M79" s="278"/>
      <c r="N79" s="174"/>
      <c r="O79" s="118"/>
      <c r="P79" s="117"/>
      <c r="Q79" s="116"/>
      <c r="R79" s="118"/>
      <c r="S79" s="118"/>
      <c r="T79" s="118"/>
      <c r="U79" s="118"/>
      <c r="V79" s="118"/>
      <c r="W79" s="118"/>
      <c r="X79" s="118"/>
      <c r="Y79" s="118"/>
      <c r="Z79" s="10"/>
      <c r="AA79" s="271"/>
    </row>
    <row r="80" spans="1:27" ht="13.5">
      <c r="A80" s="33">
        <v>35</v>
      </c>
      <c r="B80" s="120">
        <f>ROUND(((0.6631*E43*A80^2*((E15/Q80)^0.5)*10^-3)*AA80),2)</f>
        <v>2.24</v>
      </c>
      <c r="C80" s="114">
        <f aca="true" t="shared" si="0" ref="C80:C105">ROUND((B80*10^3/(8*(P80*10^-3)*R80^2)*(2.3/0.6631)/AA80),2)</f>
        <v>3.58</v>
      </c>
      <c r="D80" s="121">
        <f>ROUND((0.001/(((LN(E15*(A80^4)/(Q80*(E56/3.14159)^2))/2.302585)-0.436)*(0.6325/A80^2)))*E17,2)</f>
        <v>0.8</v>
      </c>
      <c r="E80" s="114">
        <f>ROUND((D80/B80)*C80,2)</f>
        <v>1.28</v>
      </c>
      <c r="F80" s="121">
        <f>ROUND(((0.66663*(0.75*(E15/30000))*(A80*6.28318*((E56/3.14159)^0.5+(0.5*A80))*0.5))*(1+((E56/3.14159)/O80^2)))*10^-3,2)</f>
        <v>2.85</v>
      </c>
      <c r="G80" s="122">
        <f>ROUND((F80/B80)*C80,2)</f>
        <v>4.55</v>
      </c>
      <c r="H80" s="121">
        <f>ROUND(((E17*10^3-U80)*4*(A80*10^-3)^2*D80)/(D80*S80*6*E52+4*(A80*10^-3)^2*E17*10^3),2)</f>
        <v>-0.4</v>
      </c>
      <c r="I80" s="114">
        <f>ROUND((W80+X80+Y80),2)</f>
        <v>3.81</v>
      </c>
      <c r="J80" s="173">
        <f>ROUND((1+3*((1-(500/O80))^2)+2*(1-(2^0.5*500)/O80)^2),2)</f>
        <v>3.46</v>
      </c>
      <c r="K80" s="124">
        <f>ROUND((1+3*((1-(750/O80))^2)+(1-(2^0.5*750)/O80)^2),2)</f>
        <v>2.33</v>
      </c>
      <c r="L80" s="124">
        <f>ROUND((1+3*((1-(1000/O80))^2)+(1-(2^0.5*1000)/O80)^2),2)</f>
        <v>1.78</v>
      </c>
      <c r="M80" s="125">
        <f>ROUND((1+3*((1-(1250/O80))^2)+(1-(2^0.5*1250)/O80)^2),2)</f>
        <v>1.39</v>
      </c>
      <c r="N80" s="123">
        <f>ROUND((1.0745*(E15/Q80)^0.25*A80),0)</f>
        <v>1292</v>
      </c>
      <c r="O80" s="124">
        <f>ROUND((1.5*N80),0)</f>
        <v>1938</v>
      </c>
      <c r="P80" s="125">
        <f aca="true" t="shared" si="1" ref="P80:P105">ROUND(((Q80/A80)*1000),4)</f>
        <v>0.6964</v>
      </c>
      <c r="Q80" s="126">
        <f>(E58/(((E26+E33+E40)/A80)*((E58/(E70+0.0001)))+0.83*((E15/E58)^0.333)-((E26+E33+E40)/A80)))</f>
        <v>0.02437403899237742</v>
      </c>
      <c r="R80" s="127">
        <f>(((E15*(A80^3))/(12*(10^-3)*P80)))^0.25</f>
        <v>646.2651846393599</v>
      </c>
      <c r="S80" s="127">
        <f>((E15*10^3*(A80*10^-3)^3*0.08333)/(T80+(E15*10^3*(A80*10^-3)^3*0.08333)))</f>
        <v>0.18142401435437677</v>
      </c>
      <c r="T80" s="127">
        <f>(D80*E52^2*300)/(48*V80)</f>
        <v>548.0859375</v>
      </c>
      <c r="U80" s="127">
        <f>(S80*E50*E52^2*6)/(8*(A80*10^-3)^2)</f>
        <v>3998.7333776066716</v>
      </c>
      <c r="V80" s="127">
        <f>((1+(0.625*(E50+A80*10^-3*E54)*E52)/D80)^-1)</f>
        <v>0.0821039127645927</v>
      </c>
      <c r="W80" s="127">
        <f>(5*E50*S80*E52^4)/(384*E15*10^3*(A80*10^-3)^3*0.08333)*10^3</f>
        <v>6.300777310934881</v>
      </c>
      <c r="X80" s="127">
        <f>(H80*E52^3)/(48*E15*10^3*(A80*10^-3)^3*0.08333)*10^3</f>
        <v>-1.8522435289454107</v>
      </c>
      <c r="Y80" s="127">
        <f>(H80/D80)*E80</f>
        <v>-0.64</v>
      </c>
      <c r="Z80" s="20">
        <f>(1-((4*(100^3-0.1795*E56^1.5))/(2*9*R80*(100^2-0.318*E56))))^2</f>
        <v>0.9282991065011211</v>
      </c>
      <c r="AA80" s="272">
        <f>(V106+W106*Z80)^1</f>
        <v>0.9340048689707925</v>
      </c>
    </row>
    <row r="81" spans="1:27" ht="13.5">
      <c r="A81" s="33">
        <v>40</v>
      </c>
      <c r="B81" s="120">
        <f>ROUND(((0.6631*E43*A81^2*((E15/Q81)^0.5)*10^-3)*AA81),2)</f>
        <v>2.76</v>
      </c>
      <c r="C81" s="114">
        <f t="shared" si="0"/>
        <v>3.58</v>
      </c>
      <c r="D81" s="121">
        <f>ROUND((0.001/(((LN(E15*(A81^4)/(Q81*(E56/3.14159)^2))/2.302585)-0.436)*(0.6325/A81^2)))*E17,2)</f>
        <v>1.01</v>
      </c>
      <c r="E81" s="114">
        <f aca="true" t="shared" si="2" ref="E81:E104">ROUND((D81/B81)*C81,2)</f>
        <v>1.31</v>
      </c>
      <c r="F81" s="121">
        <f>ROUND(((0.66663*(0.75*(E15/30000))*(A81*6.28318*((E56/3.14159)^0.5+(0.5*A81))*0.5))*(1+((E56/3.14159)/O81^2)))*10^-3,2)</f>
        <v>3.43</v>
      </c>
      <c r="G81" s="122">
        <f aca="true" t="shared" si="3" ref="G81:G105">ROUND((F81/B81)*C81,2)</f>
        <v>4.45</v>
      </c>
      <c r="H81" s="121">
        <f>ROUND(((E17*10^3-U81)*4*(A81*10^-3)^2*D81)/(D81*S81*6*E52+4*(A81*10^-3)^2*E17*10^3),2)</f>
        <v>-0.5</v>
      </c>
      <c r="I81" s="114">
        <f aca="true" t="shared" si="4" ref="I81:I104">ROUND((W81+X81+Y81),2)</f>
        <v>3.4</v>
      </c>
      <c r="J81" s="173">
        <f aca="true" t="shared" si="5" ref="J81:J105">ROUND((1+3*((1-(500/O81))^2)+2*(1-(2^0.5*500)/O81)^2),2)</f>
        <v>3.66</v>
      </c>
      <c r="K81" s="124">
        <f aca="true" t="shared" si="6" ref="K81:K105">ROUND((1+3*((1-(750/O81))^2)+(1-(2^0.5*750)/O81)^2),2)</f>
        <v>2.52</v>
      </c>
      <c r="L81" s="124">
        <f aca="true" t="shared" si="7" ref="L81:L105">ROUND((1+3*((1-(1000/O81))^2)+(1-(2^0.5*1000)/O81)^2),2)</f>
        <v>1.97</v>
      </c>
      <c r="M81" s="125">
        <f aca="true" t="shared" si="8" ref="M81:M105">ROUND((1+3*((1-(1250/O81))^2)+(1-(2^0.5*1250)/O81)^2),2)</f>
        <v>1.55</v>
      </c>
      <c r="N81" s="123">
        <f>ROUND((1.0745*(E15/Q81)^0.25*A81),0)</f>
        <v>1429</v>
      </c>
      <c r="O81" s="124">
        <f aca="true" t="shared" si="9" ref="O81:O103">ROUND((1.5*N81),0)</f>
        <v>2144</v>
      </c>
      <c r="P81" s="125">
        <f t="shared" si="1"/>
        <v>0.6964</v>
      </c>
      <c r="Q81" s="126">
        <f>(E58/(((E26+E33+E40)/A81)*((E58/(E70+0.0001)))+0.83*((E15/E58)^0.333)-((E26+E33+E40)/A81)))</f>
        <v>0.027856044000622377</v>
      </c>
      <c r="R81" s="127">
        <f>(((E15*(A81^3))/(12*(10^-3)*P81)))^0.25</f>
        <v>714.3395907422422</v>
      </c>
      <c r="S81" s="127">
        <f>((E15*10^3*(A81*10^-3)^3*0.08333)/(T81+(E15*10^3*(A81*10^-3)^3*0.08333)))</f>
        <v>0.24086051854101553</v>
      </c>
      <c r="T81" s="127">
        <f>(D81*E52^2*300)/(48*V81)</f>
        <v>571.5</v>
      </c>
      <c r="U81" s="127">
        <f>(S81*E50*E52^2*6)/(8*(A81*10^-3)^2)</f>
        <v>4064.5212503796365</v>
      </c>
      <c r="V81" s="127">
        <f>((1+(0.625*(E50+A81*10^-3*E54)*E52)/D81)^-1)</f>
        <v>0.09940944881889766</v>
      </c>
      <c r="W81" s="127">
        <f>(5*E50*S81*E52^4)/(384*E15*10^3*(A81*10^-3)^3*0.08333)*10^3</f>
        <v>5.603883967462977</v>
      </c>
      <c r="X81" s="127">
        <f>(H81*E52^3)/(48*E15*10^3*(A81*10^-3)^3*0.08333)*10^3</f>
        <v>-1.551073072334658</v>
      </c>
      <c r="Y81" s="127">
        <f aca="true" t="shared" si="10" ref="Y81:Y104">(H81/D81)*E81</f>
        <v>-0.6485148514851485</v>
      </c>
      <c r="Z81" s="20">
        <f>(1-((4*(100^3-0.1795*E56^1.5))/(2*9*R81*(100^2-0.318*E56))))^2</f>
        <v>0.9350170163257537</v>
      </c>
      <c r="AA81" s="272">
        <f>(V106+W106*Z81)^1</f>
        <v>0.9401881857676182</v>
      </c>
    </row>
    <row r="82" spans="1:27" ht="13.5">
      <c r="A82" s="33">
        <v>45</v>
      </c>
      <c r="B82" s="120">
        <f>ROUND(((0.6631*E43*A82^2*((E15/Q82)^0.5)*10^-3)*AA82),2)</f>
        <v>3.3</v>
      </c>
      <c r="C82" s="114">
        <f t="shared" si="0"/>
        <v>3.57</v>
      </c>
      <c r="D82" s="121">
        <f>ROUND((0.001/(((LN(E15*(A82^4)/(Q82*(E56/3.14159)^2))/2.302585)-0.436)*(0.6325/A82^2)))*E17,2)</f>
        <v>1.25</v>
      </c>
      <c r="E82" s="114">
        <f t="shared" si="2"/>
        <v>1.35</v>
      </c>
      <c r="F82" s="121">
        <f>ROUND(((0.66663*(0.75*(E15/30000))*(A82*6.28318*((E56/3.14159)^0.5+(0.5*A82))*0.5))*(1+((E56/3.14159)/O82^2)))*10^-3,2)</f>
        <v>4.06</v>
      </c>
      <c r="G82" s="122">
        <f t="shared" si="3"/>
        <v>4.39</v>
      </c>
      <c r="H82" s="121">
        <f>ROUND(((E17*10^3-U82)*4*(A82*10^-3)^2*D82)/(D82*S82*6*E52+4*(A82*10^-3)^2*E17*10^3),2)</f>
        <v>-0.57</v>
      </c>
      <c r="I82" s="114">
        <f t="shared" si="4"/>
        <v>3.08</v>
      </c>
      <c r="J82" s="173">
        <f>ROUND((1+3*((1-(500/O82))^2)+2*(1-(2^0.5*500)/O82)^2),2)</f>
        <v>3.83</v>
      </c>
      <c r="K82" s="124">
        <f t="shared" si="6"/>
        <v>2.69</v>
      </c>
      <c r="L82" s="124">
        <f t="shared" si="7"/>
        <v>2.14</v>
      </c>
      <c r="M82" s="125">
        <f t="shared" si="8"/>
        <v>1.71</v>
      </c>
      <c r="N82" s="123">
        <f>ROUND((1.0745*(E15/Q82)^0.25*A82),0)</f>
        <v>1561</v>
      </c>
      <c r="O82" s="124">
        <f t="shared" si="9"/>
        <v>2342</v>
      </c>
      <c r="P82" s="125">
        <f t="shared" si="1"/>
        <v>0.6964</v>
      </c>
      <c r="Q82" s="126">
        <f>(E58/(((E26+E33+E40)/A82)*((E58/(E70+0.0001)))+0.83*((E15/E58)^0.333)-((E26+E33+E40)/A82)))</f>
        <v>0.03133804886834369</v>
      </c>
      <c r="R82" s="127">
        <f>(((E15*(A82^3))/(12*(10^-3)*P82)))^0.25</f>
        <v>780.3134853978044</v>
      </c>
      <c r="S82" s="127">
        <f>((E15*10^3*(A82*10^-3)^3*0.08333)/(T82+(E15*10^3*(A82*10^-3)^3*0.08333)))</f>
        <v>0.3020397699762617</v>
      </c>
      <c r="T82" s="127">
        <f>(D82*E52^2*300)/(48*V82)</f>
        <v>596.6015625000001</v>
      </c>
      <c r="U82" s="127">
        <f>(S82*E50*E52^2*6)/(8*(A82*10^-3)^2)</f>
        <v>4027.1969330168226</v>
      </c>
      <c r="V82" s="127">
        <f>((1+(0.625*(E50+A82*10^-3*E54)*E52)/D82)^-1)</f>
        <v>0.11785503830288743</v>
      </c>
      <c r="W82" s="127">
        <f>(5*E50*S82*E52^4)/(384*E15*10^3*(A82*10^-3)^3*0.08333)*10^3</f>
        <v>4.935487778600386</v>
      </c>
      <c r="X82" s="127">
        <f>(H82*E52^3)/(48*E15*10^3*(A82*10^-3)^3*0.08333)*10^3</f>
        <v>-1.2418797405490989</v>
      </c>
      <c r="Y82" s="127">
        <f t="shared" si="10"/>
        <v>-0.6156</v>
      </c>
      <c r="Z82" s="20">
        <f>(1-((4*(100^3-0.1795*E56^1.5))/(2*9*R82*(100^2-0.318*E56))))^2</f>
        <v>0.9404267150827924</v>
      </c>
      <c r="AA82" s="272">
        <f>(V106+W106*Z82)^1</f>
        <v>0.9451673953824175</v>
      </c>
    </row>
    <row r="83" spans="1:27" ht="13.5">
      <c r="A83" s="33">
        <v>50</v>
      </c>
      <c r="B83" s="120">
        <f>ROUND(((0.6631*E43*A83^2*((E15/Q83)^0.5)*10^-3)*AA83),2)</f>
        <v>3.89</v>
      </c>
      <c r="C83" s="114">
        <f t="shared" si="0"/>
        <v>3.58</v>
      </c>
      <c r="D83" s="121">
        <f>ROUND((0.001/(((LN(E15*(A83^4)/(Q83*(E56/3.14159)^2))/2.302585)-0.436)*(0.6325/A83^2)))*E17,2)</f>
        <v>1.51</v>
      </c>
      <c r="E83" s="114">
        <f t="shared" si="2"/>
        <v>1.39</v>
      </c>
      <c r="F83" s="121">
        <f>ROUND(((0.66663*(0.75*(E15/30000))*(A83*6.28318*((E56/3.14159)^0.5+(0.5*A83))*0.5))*(1+((E56/3.14159)/O83^2)))*10^-3,2)</f>
        <v>4.74</v>
      </c>
      <c r="G83" s="122">
        <f t="shared" si="3"/>
        <v>4.36</v>
      </c>
      <c r="H83" s="121">
        <f>ROUND(((E17*10^3-U83)*4*(A83*10^-3)^2*D83)/(D83*S83*6*E52+4*(A83*10^-3)^2*E17*10^3),2)</f>
        <v>-0.61</v>
      </c>
      <c r="I83" s="114">
        <f t="shared" si="4"/>
        <v>2.79</v>
      </c>
      <c r="J83" s="173">
        <f t="shared" si="5"/>
        <v>3.97</v>
      </c>
      <c r="K83" s="124">
        <f t="shared" si="6"/>
        <v>2.83</v>
      </c>
      <c r="L83" s="124">
        <f t="shared" si="7"/>
        <v>2.29</v>
      </c>
      <c r="M83" s="125">
        <f t="shared" si="8"/>
        <v>1.86</v>
      </c>
      <c r="N83" s="123">
        <f>ROUND((1.0745*(E15/Q83)^0.25*A83),0)</f>
        <v>1689</v>
      </c>
      <c r="O83" s="124">
        <f t="shared" si="9"/>
        <v>2534</v>
      </c>
      <c r="P83" s="125">
        <f t="shared" si="1"/>
        <v>0.6964</v>
      </c>
      <c r="Q83" s="126">
        <f>(E58/(((E26+E33+E40)/A83)*((E58/(E70+0.0001)))+0.83*((E15/E58)^0.333)-((E26+E33+E40)/A83)))</f>
        <v>0.03482005359554136</v>
      </c>
      <c r="R83" s="127">
        <f>(((E15*(A83^3))/(12*(10^-3)*P83)))^0.25</f>
        <v>844.4758424040472</v>
      </c>
      <c r="S83" s="127">
        <f>((E15*10^3*(A83*10^-3)^3*0.08333)/(T83+(E15*10^3*(A83*10^-3)^3*0.08333)))</f>
        <v>0.3624969533044733</v>
      </c>
      <c r="T83" s="127">
        <f>(D83*E52^2*300)/(48*V83)</f>
        <v>622.8281249999999</v>
      </c>
      <c r="U83" s="127">
        <f>(S83*E50*E52^2*6)/(8*(A83*10^-3)^2)</f>
        <v>3914.9670956883106</v>
      </c>
      <c r="V83" s="127">
        <f>((1+(0.625*(E50+A83*10^-3*E54)*E52)/D83)^-1)</f>
        <v>0.13637389930006774</v>
      </c>
      <c r="W83" s="127">
        <f>(5*E50*S83*E52^4)/(384*E15*10^3*(A83*10^-3)^3*0.08333)*10^3</f>
        <v>4.318151140407724</v>
      </c>
      <c r="X83" s="127">
        <f>(H83*E52^3)/(48*E15*10^3*(A83*10^-3)^3*0.08333)*10^3</f>
        <v>-0.9688622839031206</v>
      </c>
      <c r="Y83" s="127">
        <f t="shared" si="10"/>
        <v>-0.561523178807947</v>
      </c>
      <c r="Z83" s="20">
        <f>(1-((4*(100^3-0.1795*E56^1.5))/(2*9*R83*(100^2-0.318*E56))))^2</f>
        <v>0.9448888110763514</v>
      </c>
      <c r="AA83" s="272">
        <f>(V106+W106*Z83)^1</f>
        <v>0.9492744098893486</v>
      </c>
    </row>
    <row r="84" spans="1:27" ht="13.5">
      <c r="A84" s="33">
        <v>55</v>
      </c>
      <c r="B84" s="120">
        <f>ROUND(((0.6631*E43*A84^2*((E15/Q84)^0.5)*10^-3)*AA84),2)</f>
        <v>4.5</v>
      </c>
      <c r="C84" s="114">
        <f t="shared" si="0"/>
        <v>3.57</v>
      </c>
      <c r="D84" s="121">
        <f>ROUND((0.001/(((LN(E15*(A84^4)/(Q84*(E56/3.14159)^2))/2.302585)-0.436)*(0.6325/A84^2)))*E17,2)</f>
        <v>1.79</v>
      </c>
      <c r="E84" s="114">
        <f t="shared" si="2"/>
        <v>1.42</v>
      </c>
      <c r="F84" s="121">
        <f>ROUND(((0.66663*(0.75*(E15/30000))*(A84*6.28318*((E56/3.14159)^0.5+(0.5*A84))*0.5))*(1+((E56/3.14159)/O84^2)))*10^-3,2)</f>
        <v>5.45</v>
      </c>
      <c r="G84" s="122">
        <f t="shared" si="3"/>
        <v>4.32</v>
      </c>
      <c r="H84" s="121">
        <f>ROUND(((E17*10^3-U84)*4*(A84*10^-3)^2*D84)/(D84*S84*6*E52+4*(A84*10^-3)^2*E17*10^3),2)</f>
        <v>-0.62</v>
      </c>
      <c r="I84" s="114">
        <f t="shared" si="4"/>
        <v>2.53</v>
      </c>
      <c r="J84" s="173">
        <f t="shared" si="5"/>
        <v>4.09</v>
      </c>
      <c r="K84" s="124">
        <f t="shared" si="6"/>
        <v>2.95</v>
      </c>
      <c r="L84" s="124">
        <f t="shared" si="7"/>
        <v>2.43</v>
      </c>
      <c r="M84" s="125">
        <f t="shared" si="8"/>
        <v>2</v>
      </c>
      <c r="N84" s="123">
        <f>ROUND((1.0745*(E15/Q84)^0.25*A84),0)</f>
        <v>1814</v>
      </c>
      <c r="O84" s="124">
        <f t="shared" si="9"/>
        <v>2721</v>
      </c>
      <c r="P84" s="125">
        <f t="shared" si="1"/>
        <v>0.6964</v>
      </c>
      <c r="Q84" s="126">
        <f>(E58/(((E26+E33+E40)/A84)*((E58/(E70+0.0001)))+0.83*((E15/E58)^0.333)-((E26+E33+E40)/A84)))</f>
        <v>0.03830205818221541</v>
      </c>
      <c r="R84" s="127">
        <f>(((E15*(A84^3))/(12*(10^-3)*P84)))^0.25</f>
        <v>907.0510789431079</v>
      </c>
      <c r="S84" s="127">
        <f>((E15*10^3*(A84*10^-3)^3*0.08333)/(T84+(E15*10^3*(A84*10^-3)^3*0.08333)))</f>
        <v>0.42028815146847714</v>
      </c>
      <c r="T84" s="127">
        <f>(D84*E52^2*300)/(48*V84)</f>
        <v>650.1796874999999</v>
      </c>
      <c r="U84" s="127">
        <f>(S84*E50*E52^2*6)/(8*(A84*10^-3)^2)</f>
        <v>3751.3322610409527</v>
      </c>
      <c r="V84" s="127">
        <f>((1+(0.625*(E50+A84*10^-3*E54)*E52)/D84)^-1)</f>
        <v>0.15486103601167947</v>
      </c>
      <c r="W84" s="127">
        <f>(5*E50*S84*E52^4)/(384*E15*10^3*(A84*10^-3)^3*0.08333)*10^3</f>
        <v>3.761513021725033</v>
      </c>
      <c r="X84" s="127">
        <f>(H84*E52^3)/(48*E15*10^3*(A84*10^-3)^3*0.08333)*10^3</f>
        <v>-0.7398536980945363</v>
      </c>
      <c r="Y84" s="127">
        <f t="shared" si="10"/>
        <v>-0.4918435754189943</v>
      </c>
      <c r="Z84" s="20">
        <f>(1-((4*(100^3-0.1795*E56^1.5))/(2*9*R84*(100^2-0.318*E56))))^2</f>
        <v>0.9486406360375391</v>
      </c>
      <c r="AA84" s="272">
        <f>(V106+W106*Z84)^1</f>
        <v>0.9527276748046053</v>
      </c>
    </row>
    <row r="85" spans="1:27" ht="13.5">
      <c r="A85" s="33">
        <v>60</v>
      </c>
      <c r="B85" s="120">
        <f>ROUND(((0.6631*E43*A85^2*((E15/Q85)^0.5)*10^-3)*AA85),2)</f>
        <v>5.14</v>
      </c>
      <c r="C85" s="114">
        <f t="shared" si="0"/>
        <v>3.57</v>
      </c>
      <c r="D85" s="121">
        <f>ROUND((0.001/(((LN(E15*(A85^4)/(Q85*(E56/3.14159)^2))/2.302585)-0.436)*(0.6325/A85^2)))*E17,2)</f>
        <v>2.1</v>
      </c>
      <c r="E85" s="114">
        <f t="shared" si="2"/>
        <v>1.46</v>
      </c>
      <c r="F85" s="121">
        <f>ROUND(((0.66663*(0.75*(E15/30000))*(A85*6.28318*((E56/3.14159)^0.5+(0.5*A85))*0.5))*(1+((E56/3.14159)/O85^2)))*10^-3,2)</f>
        <v>6.22</v>
      </c>
      <c r="G85" s="122">
        <f t="shared" si="3"/>
        <v>4.32</v>
      </c>
      <c r="H85" s="121">
        <f>ROUND(((E17*10^3-U85)*4*(A85*10^-3)^2*D85)/(D85*S85*6*E52+4*(A85*10^-3)^2*E17*10^3),2)</f>
        <v>-0.59</v>
      </c>
      <c r="I85" s="114">
        <f t="shared" si="4"/>
        <v>2.31</v>
      </c>
      <c r="J85" s="177">
        <f>ROUND((1+3*((1-(500/O85))^2)+2*(1-(2^0.5*500)/O85)^2),2)</f>
        <v>4.2</v>
      </c>
      <c r="K85" s="124">
        <f>ROUND((1+3*((1-(750/O85))^2)+(1-(2^0.5*750)/O85)^2),2)</f>
        <v>3.05</v>
      </c>
      <c r="L85" s="124">
        <f t="shared" si="7"/>
        <v>2.55</v>
      </c>
      <c r="M85" s="125">
        <f>ROUND((1+3*((1-(1250/O85))^2)+(1-(2^0.5*1250)/O85)^2),2)</f>
        <v>2.13</v>
      </c>
      <c r="N85" s="123">
        <f>ROUND((1.0745*(E15/Q85)^0.25*A85),0)</f>
        <v>1936</v>
      </c>
      <c r="O85" s="124">
        <f t="shared" si="9"/>
        <v>2904</v>
      </c>
      <c r="P85" s="125">
        <f t="shared" si="1"/>
        <v>0.6964</v>
      </c>
      <c r="Q85" s="126">
        <f>(E58/(((E26+E33+E40)/A85)*((E58/(E70+0.0001)))+0.83*((E15/E58)^0.333)-((E26+E33+E40)/A85)))</f>
        <v>0.041784062628365835</v>
      </c>
      <c r="R85" s="127">
        <f>(((E15*(A85^3))/(12*(10^-3)*P85)))^0.25</f>
        <v>968.2180281787894</v>
      </c>
      <c r="S85" s="127">
        <f>((E15*10^3*(A85*10^-3)^3*0.08333)/(T85+(E15*10^3*(A85*10^-3)^3*0.08333)))</f>
        <v>0.47396083937082517</v>
      </c>
      <c r="T85" s="127">
        <f>(D85*E52^2*300)/(48*V85)</f>
        <v>679.2187500000002</v>
      </c>
      <c r="U85" s="127">
        <f>(S85*E50*E52^2*6)/(8*(A85*10^-3)^2)</f>
        <v>3554.7062952811884</v>
      </c>
      <c r="V85" s="127">
        <f>((1+(0.625*(E50+A85*10^-3*E54)*E52)/D85)^-1)</f>
        <v>0.17391304347826084</v>
      </c>
      <c r="W85" s="127">
        <f>(5*E50*S85*E52^4)/(384*E15*10^3*(A85*10^-3)^3*0.08333)*10^3</f>
        <v>3.267323979063196</v>
      </c>
      <c r="X85" s="127">
        <f>(H85*E52^3)/(48*E15*10^3*(A85*10^-3)^3*0.08333)*10^3</f>
        <v>-0.5423011038088582</v>
      </c>
      <c r="Y85" s="127">
        <f t="shared" si="10"/>
        <v>-0.41019047619047616</v>
      </c>
      <c r="Z85" s="20">
        <f>(1-((4*(100^3-0.1795*E56^1.5))/(2*9*R85*(100^2-0.318*E56))))^2</f>
        <v>0.9518451878545706</v>
      </c>
      <c r="AA85" s="272">
        <f>(V106+W106*Z85)^1</f>
        <v>0.9556772170869227</v>
      </c>
    </row>
    <row r="86" spans="1:27" ht="13.5">
      <c r="A86" s="33">
        <v>65</v>
      </c>
      <c r="B86" s="120">
        <f>ROUND(((0.6631*E43*A86^2*((E15/Q86)^0.5)*10^-3)*AA86),2)</f>
        <v>5.82</v>
      </c>
      <c r="C86" s="114">
        <f t="shared" si="0"/>
        <v>3.58</v>
      </c>
      <c r="D86" s="121">
        <f>ROUND((0.001/(((LN(E15*(A86^4)/(Q86*(E56/3.14159)^2))/2.302585)-0.436)*(0.6325/A86^2)))*E17,2)</f>
        <v>2.42</v>
      </c>
      <c r="E86" s="114">
        <f t="shared" si="2"/>
        <v>1.49</v>
      </c>
      <c r="F86" s="121">
        <f>ROUND(((0.66663*(0.75*(E15/30000))*(A86*6.28318*((E56/3.14159)^0.5+(0.5*A86))*0.5))*(1+((E56/3.14159)/O86^2)))*10^-3,2)</f>
        <v>7.03</v>
      </c>
      <c r="G86" s="122">
        <f t="shared" si="3"/>
        <v>4.32</v>
      </c>
      <c r="H86" s="121">
        <f>ROUND(((E17*10^3-U86)*4*(A86*10^-3)^2*D86)/(D86*S86*6*E52+4*(A86*10^-3)^2*E17*10^3),2)</f>
        <v>-0.53</v>
      </c>
      <c r="I86" s="114">
        <f t="shared" si="4"/>
        <v>2.13</v>
      </c>
      <c r="J86" s="177">
        <f t="shared" si="5"/>
        <v>4.29</v>
      </c>
      <c r="K86" s="124">
        <f t="shared" si="6"/>
        <v>3.15</v>
      </c>
      <c r="L86" s="124">
        <f t="shared" si="7"/>
        <v>2.66</v>
      </c>
      <c r="M86" s="125">
        <f t="shared" si="8"/>
        <v>2.24</v>
      </c>
      <c r="N86" s="123">
        <f>ROUND((1.0745*(E15/Q86)^0.25*A86),0)</f>
        <v>2056</v>
      </c>
      <c r="O86" s="124">
        <f t="shared" si="9"/>
        <v>3084</v>
      </c>
      <c r="P86" s="125">
        <f t="shared" si="1"/>
        <v>0.6964</v>
      </c>
      <c r="Q86" s="126">
        <f>(E58/(((E26+E33+E40)/A86)*((E58/(E70+0.0001)))+0.83*((E15/E58)^0.333)-((E26+E33+E40)/A86)))</f>
        <v>0.045266066933992655</v>
      </c>
      <c r="R86" s="127">
        <f>(((E15*(A86^3))/(12*(10^-3)*P86)))^0.25</f>
        <v>1028.122218347961</v>
      </c>
      <c r="S86" s="127">
        <f>((E15*10^3*(A86*10^-3)^3*0.08333)/(T86+(E15*10^3*(A86*10^-3)^3*0.08333)))</f>
        <v>0.5232877259714434</v>
      </c>
      <c r="T86" s="127">
        <f>(D86*E52^2*300)/(48*V86)</f>
        <v>708.8203124999999</v>
      </c>
      <c r="U86" s="127">
        <f>(S86*E50*E52^2*6)/(8*(A86*10^-3)^2)</f>
        <v>3344.087242894431</v>
      </c>
      <c r="V86" s="127">
        <f>((1+(0.625*(E50+A86*10^-3*E54)*E52)/D86)^-1)</f>
        <v>0.19204444003571078</v>
      </c>
      <c r="W86" s="127">
        <f>(5*E50*S86*E52^4)/(384*E15*10^3*(A86*10^-3)^3*0.08333)*10^3</f>
        <v>2.8372915823542697</v>
      </c>
      <c r="X86" s="127">
        <f>(H86*E52^3)/(48*E15*10^3*(A86*10^-3)^3*0.08333)*10^3</f>
        <v>-0.38315811461878263</v>
      </c>
      <c r="Y86" s="127">
        <f t="shared" si="10"/>
        <v>-0.3263223140495868</v>
      </c>
      <c r="Z86" s="20">
        <f>(1-((4*(100^3-0.1795*E56^1.5))/(2*9*R86*(100^2-0.318*E56))))^2</f>
        <v>0.9546183588827031</v>
      </c>
      <c r="AA86" s="272">
        <f>(V106+W106*Z86)^1</f>
        <v>0.958229706692521</v>
      </c>
    </row>
    <row r="87" spans="1:27" ht="13.5">
      <c r="A87" s="33">
        <v>70</v>
      </c>
      <c r="B87" s="120">
        <f>ROUND(((0.6631*E43*A87^2*((E15/Q87)^0.5)*10^-3)*AA87),2)</f>
        <v>6.52</v>
      </c>
      <c r="C87" s="114">
        <f t="shared" si="0"/>
        <v>3.58</v>
      </c>
      <c r="D87" s="121">
        <f>ROUND((0.001/(((LN(E15*(A87^4)/(Q87*(E56/3.14159)^2))/2.302585)-0.436)*(0.6325/A87^2)))*E17,2)</f>
        <v>2.77</v>
      </c>
      <c r="E87" s="114">
        <f t="shared" si="2"/>
        <v>1.52</v>
      </c>
      <c r="F87" s="121">
        <f>ROUND(((0.66663*(0.75*(E15/30000))*(A87*6.28318*((E56/3.14159)^0.5+(0.5*A87))*0.5))*(1+((E56/3.14159)/O87^2)))*10^-3,2)</f>
        <v>7.88</v>
      </c>
      <c r="G87" s="122">
        <f t="shared" si="3"/>
        <v>4.33</v>
      </c>
      <c r="H87" s="121">
        <f>ROUND(((E17*10^3-U87)*4*(A87*10^-3)^2*D87)/(D87*S87*6*E52+4*(A87*10^-3)^2*E17*10^3),2)</f>
        <v>-0.44</v>
      </c>
      <c r="I87" s="114">
        <f t="shared" si="4"/>
        <v>1.97</v>
      </c>
      <c r="J87" s="177">
        <f t="shared" si="5"/>
        <v>4.38</v>
      </c>
      <c r="K87" s="124">
        <f t="shared" si="6"/>
        <v>3.23</v>
      </c>
      <c r="L87" s="124">
        <f t="shared" si="7"/>
        <v>2.76</v>
      </c>
      <c r="M87" s="125">
        <f t="shared" si="8"/>
        <v>2.35</v>
      </c>
      <c r="N87" s="123">
        <f>ROUND((1.0745*(E15/Q87)^0.25*A87),0)</f>
        <v>2174</v>
      </c>
      <c r="O87" s="124">
        <f t="shared" si="9"/>
        <v>3261</v>
      </c>
      <c r="P87" s="125">
        <f t="shared" si="1"/>
        <v>0.6964</v>
      </c>
      <c r="Q87" s="126">
        <f>(E58/(((E26+E33+E40)/A87)*((E58/(E70+0.0001)))+0.83*((E15/E58)^0.333)-((E27+E33+E40)/A87)))</f>
        <v>0.048748060914636134</v>
      </c>
      <c r="R87" s="127">
        <f>(((E15*(A87^3))/(12*(10^-3)*P87)))^0.25</f>
        <v>1086.8841541330348</v>
      </c>
      <c r="S87" s="127">
        <f>((E15*10^3*(A87*10^-3)^3*0.08333)/(T87+(E15*10^3*(A87*10^-3)^3*0.08333)))</f>
        <v>0.5676688375430855</v>
      </c>
      <c r="T87" s="127">
        <f>(D87*E52^2*300)/(48*V87)</f>
        <v>740.109375</v>
      </c>
      <c r="U87" s="127">
        <f>(S87*E50*E52^2*6)/(8*(A87*10^-3)^2)</f>
        <v>3127.971145645573</v>
      </c>
      <c r="V87" s="127">
        <f>((1+(0.625*(E50+A87*10^-3*E54)*E52)/D87)^-1)</f>
        <v>0.21052631578947367</v>
      </c>
      <c r="W87" s="127">
        <f>(5*E50*S87*E52^4)/(384*E15*10^3*(A87*10^-3)^3*0.08333)*10^3</f>
        <v>2.464361556851118</v>
      </c>
      <c r="X87" s="127">
        <f>(H87*E52^3)/(48*E15*10^3*(A87*10^-3)^3*0.08333)*10^3</f>
        <v>-0.25468348522999396</v>
      </c>
      <c r="Y87" s="127">
        <f t="shared" si="10"/>
        <v>-0.24144404332129965</v>
      </c>
      <c r="Z87" s="20">
        <f>(1-((4*(100^3-0.1795*E56^1.5))/(2*9*R87*(100^2-0.318*E56))))^2</f>
        <v>0.9570449518363052</v>
      </c>
      <c r="AA87" s="272">
        <f>(V106+W106*Z87)^1</f>
        <v>0.96046319796596</v>
      </c>
    </row>
    <row r="88" spans="1:27" ht="13.5">
      <c r="A88" s="33">
        <v>75</v>
      </c>
      <c r="B88" s="120">
        <f>ROUND(((0.6631*E43*A88^2*((E15/Q88)^0.5)*10^-3)*AA88),2)</f>
        <v>7.24</v>
      </c>
      <c r="C88" s="114">
        <f t="shared" si="0"/>
        <v>3.57</v>
      </c>
      <c r="D88" s="121">
        <f>ROUND((0.001/(((LN(E15*(A88^4)/(Q88*(E56/3.14159)^2))/2.302585)-0.436)*(0.6325/A88^2)))*E17,2)</f>
        <v>3.14</v>
      </c>
      <c r="E88" s="114">
        <f t="shared" si="2"/>
        <v>1.55</v>
      </c>
      <c r="F88" s="121">
        <f>ROUND(((0.66663*(0.75*(E15/30000))*(A88*6.28318*((E56/3.14159)^0.5+(0.5*A88))*0.5))*(1+((E56/3.14159)/O88^2)))*10^-3,2)</f>
        <v>8.77</v>
      </c>
      <c r="G88" s="122">
        <f t="shared" si="3"/>
        <v>4.32</v>
      </c>
      <c r="H88" s="121">
        <f>ROUND(((E17*10^3-U88)*4*(A88*10^-3)^2*D88)/(D88*S88*6*E52+4*(A88*10^-3)^2*E17*10^3),2)</f>
        <v>-0.32</v>
      </c>
      <c r="I88" s="114">
        <f t="shared" si="4"/>
        <v>1.84</v>
      </c>
      <c r="J88" s="177">
        <f t="shared" si="5"/>
        <v>4.45</v>
      </c>
      <c r="K88" s="124">
        <f t="shared" si="6"/>
        <v>3.31</v>
      </c>
      <c r="L88" s="124">
        <f t="shared" si="7"/>
        <v>2.85</v>
      </c>
      <c r="M88" s="125">
        <f t="shared" si="8"/>
        <v>2.45</v>
      </c>
      <c r="N88" s="123">
        <f>ROUND((1.0745*(E15/Q88)^0.25*A88),0)</f>
        <v>2289</v>
      </c>
      <c r="O88" s="124">
        <f t="shared" si="9"/>
        <v>3434</v>
      </c>
      <c r="P88" s="125">
        <f t="shared" si="1"/>
        <v>0.6964</v>
      </c>
      <c r="Q88" s="126">
        <f>(E58/(((E26+E33+E40)/A88)*((E58/(E70+0.0001)))+0.83*((E15/E58)^0.333)-((E26+E33+E40)/A88)))</f>
        <v>0.052230075123675494</v>
      </c>
      <c r="R88" s="127">
        <f>(((E15*(A88^3))/(12*(10^-3)*P88)))^0.25</f>
        <v>1144.6050947946133</v>
      </c>
      <c r="S88" s="127">
        <f>((E15*10^3*(A88*10^-3)^3*0.08333)/(T88+(E15*10^3*(A88*10^-3)^3*0.08333)))</f>
        <v>0.6074153372076071</v>
      </c>
      <c r="T88" s="127">
        <f>(D88*E52^2*300)/(48*V88)</f>
        <v>772.5234374999999</v>
      </c>
      <c r="U88" s="127">
        <f>(S88*E50*E52^2*6)/(8*(A88*10^-3)^2)</f>
        <v>2915.5936185965143</v>
      </c>
      <c r="V88" s="127">
        <f>((1+(0.625*(E50+A88*10^-3*E54)*E52)/D88)^-1)</f>
        <v>0.2286338399927187</v>
      </c>
      <c r="W88" s="127">
        <f>(5*E50*S88*E52^4)/(384*E15*10^3*(A88*10^-3)^3*0.08333)*10^3</f>
        <v>2.1439045933870546</v>
      </c>
      <c r="X88" s="127">
        <f>(H88*E52^3)/(48*E15*10^3*(A88*10^-3)^3*0.08333)*10^3</f>
        <v>-0.15059425906448023</v>
      </c>
      <c r="Y88" s="127">
        <f t="shared" si="10"/>
        <v>-0.15796178343949044</v>
      </c>
      <c r="Z88" s="20">
        <f>(1-((4*(100^3-0.1795*E56^1.5))/(2*9*R88*(100^2-0.318*E56))))^2</f>
        <v>0.9591885424089759</v>
      </c>
      <c r="AA88" s="272">
        <f>(V106+W106*Z88)^1</f>
        <v>0.9624362074197207</v>
      </c>
    </row>
    <row r="89" spans="1:27" ht="13.5">
      <c r="A89" s="33">
        <v>80</v>
      </c>
      <c r="B89" s="120">
        <f>ROUND(((0.6631*E43*A89^2*((E15/Q89)^0.5)*10^-3)*AA89),2)</f>
        <v>7.99</v>
      </c>
      <c r="C89" s="114">
        <f t="shared" si="0"/>
        <v>3.57</v>
      </c>
      <c r="D89" s="121">
        <f>ROUND((0.001/(((LN(E15*(A89^4)/(Q89*(E56/3.14159)^2))/2.302585)-0.436)*(0.6325/A89^2)))*E17,2)</f>
        <v>3.53</v>
      </c>
      <c r="E89" s="114">
        <f t="shared" si="2"/>
        <v>1.58</v>
      </c>
      <c r="F89" s="121">
        <f>ROUND(((0.66663*(0.75*(E15/30000))*(A89*6.28318*((E56/3.14159)^0.5+(0.5*A89))*0.5))*(1+((E56/3.14159)/O89^2)))*10^-3,2)</f>
        <v>9.71</v>
      </c>
      <c r="G89" s="122">
        <f t="shared" si="3"/>
        <v>4.34</v>
      </c>
      <c r="H89" s="121">
        <f>ROUND(((E17*10^3-U89)*4*(A89*10^-3)^2*D89)/(D89*S89*6*E52+4*(A89*10^-3)^2*E17*10^3),2)</f>
        <v>-0.18</v>
      </c>
      <c r="I89" s="114">
        <f t="shared" si="4"/>
        <v>1.72</v>
      </c>
      <c r="J89" s="177">
        <f t="shared" si="5"/>
        <v>4.52</v>
      </c>
      <c r="K89" s="124">
        <f t="shared" si="6"/>
        <v>3.38</v>
      </c>
      <c r="L89" s="124">
        <f t="shared" si="7"/>
        <v>2.94</v>
      </c>
      <c r="M89" s="125">
        <f t="shared" si="8"/>
        <v>2.54</v>
      </c>
      <c r="N89" s="123">
        <f>ROUND((1.0745*(E15/Q89)^0.25*A89),0)</f>
        <v>2403</v>
      </c>
      <c r="O89" s="124">
        <f t="shared" si="9"/>
        <v>3605</v>
      </c>
      <c r="P89" s="125">
        <f t="shared" si="1"/>
        <v>0.6964</v>
      </c>
      <c r="Q89" s="126">
        <f>(E58/(((E26+E33+E40)/A89)*((E58/(E70+0.0001)))+0.83*((E15/E58)^0.333)-((E26+E33+E40)/A89)))</f>
        <v>0.05571207900773154</v>
      </c>
      <c r="R89" s="127">
        <f>(((E15*(A89^3))/(12*(10^-3)*P89)))^0.25</f>
        <v>1201.3712022579134</v>
      </c>
      <c r="S89" s="127">
        <f>((E15*10^3*(A89*10^-3)^3*0.08333)/(T89+(E15*10^3*(A89*10^-3)^3*0.08333)))</f>
        <v>0.6428090536931315</v>
      </c>
      <c r="T89" s="127">
        <f>(D89*E52^2*300)/(48*V89)</f>
        <v>806.0625</v>
      </c>
      <c r="U89" s="127">
        <f>(S89*E50*E52^2*6)/(8*(A89*10^-3)^2)</f>
        <v>2711.850695267898</v>
      </c>
      <c r="V89" s="127">
        <f>((1+(0.625*(E50+A89*10^-3*E54)*E52)/D89)^-1)</f>
        <v>0.2463363572923936</v>
      </c>
      <c r="W89" s="127">
        <f>(5*E50*S89*E52^4)/(384*E15*10^3*(A89*10^-3)^3*0.08333)*10^3</f>
        <v>1.8694571509431368</v>
      </c>
      <c r="X89" s="127">
        <f>(H89*E52^3)/(48*E15*10^3*(A89*10^-3)^3*0.08333)*10^3</f>
        <v>-0.0697982882550596</v>
      </c>
      <c r="Y89" s="127">
        <f t="shared" si="10"/>
        <v>-0.08056657223796033</v>
      </c>
      <c r="Z89" s="20">
        <f>(1-((4*(100^3-0.1795*E56^1.5))/(2*9*R89*(100^2-0.318*E56))))^2</f>
        <v>0.9610977906069788</v>
      </c>
      <c r="AA89" s="272">
        <f>(V106+W106*Z89)^1</f>
        <v>0.9641935228288578</v>
      </c>
    </row>
    <row r="90" spans="1:27" ht="13.5">
      <c r="A90" s="257">
        <v>85</v>
      </c>
      <c r="B90" s="120">
        <f>ROUND(((0.6631*E43*A90^2*((E15/Q90)^0.5)*10^-3)*AA90),2)</f>
        <v>8.77</v>
      </c>
      <c r="C90" s="114">
        <f t="shared" si="0"/>
        <v>3.58</v>
      </c>
      <c r="D90" s="258">
        <f>ROUND((0.001/(((LN(E15*(A90^4)/(Q90*(E56/3.14159)^2))/2.302585)-0.436)*(0.6325/A90^2)))*E17,2)</f>
        <v>3.94</v>
      </c>
      <c r="E90" s="114">
        <f t="shared" si="2"/>
        <v>1.61</v>
      </c>
      <c r="F90" s="121">
        <f>ROUND(((0.66663*(0.75*(E15/30000))*(A90*6.28318*((E56/3.14159)^0.5+(0.5*A90))*0.5))*(1+((E56/3.14159)/O90^2)))*10^-3,2)</f>
        <v>10.7</v>
      </c>
      <c r="G90" s="122">
        <f t="shared" si="3"/>
        <v>4.37</v>
      </c>
      <c r="H90" s="121">
        <f>ROUND(((E17*10^3-U90)*4*(A90*10^-3)^2*D90)/(D90*S90*6*E52+4*(A90*10^-3)^2*E17*10^3),2)</f>
        <v>-0.02</v>
      </c>
      <c r="I90" s="114">
        <f t="shared" si="4"/>
        <v>1.62</v>
      </c>
      <c r="J90" s="177">
        <f t="shared" si="5"/>
        <v>4.58</v>
      </c>
      <c r="K90" s="127">
        <f t="shared" si="6"/>
        <v>3.44</v>
      </c>
      <c r="L90" s="124">
        <f t="shared" si="7"/>
        <v>3.01</v>
      </c>
      <c r="M90" s="125">
        <f t="shared" si="8"/>
        <v>2.62</v>
      </c>
      <c r="N90" s="123">
        <f>ROUND((1.0745*(E15/Q90)^0.25*A90),0)</f>
        <v>2514</v>
      </c>
      <c r="O90" s="124">
        <f t="shared" si="9"/>
        <v>3771</v>
      </c>
      <c r="P90" s="125">
        <f t="shared" si="1"/>
        <v>0.6964</v>
      </c>
      <c r="Q90" s="126">
        <f>(E58/(((E26+E33+E40)/A90)*((E58/(E70+0.0001)))+0.83*((E15/E58)^0.333)-((E26+E33+E40)/A90)))</f>
        <v>0.059194082751264004</v>
      </c>
      <c r="R90" s="127">
        <f>(((E15*(A90^3))/(12*(10^-3)*P90)))^0.25</f>
        <v>1257.2565921383514</v>
      </c>
      <c r="S90" s="127">
        <f>((E15*10^3*(A90*10^-3)^3*0.08333)/(T90+(E15*10^3*(A90*10^-3)^3*0.08333)))</f>
        <v>0.6742225766700178</v>
      </c>
      <c r="T90" s="127">
        <f>(D90*E52^2*300)/(48*V90)</f>
        <v>840.7265625000001</v>
      </c>
      <c r="U90" s="127">
        <f>(S90*E50*E52^2*6)/(8*(A90*10^-3)^2)</f>
        <v>2519.586099666502</v>
      </c>
      <c r="V90" s="127">
        <f>((1+(0.625*(E50+A90*10^-3*E54)*E52)/D90)^-1)</f>
        <v>0.2636112737308689</v>
      </c>
      <c r="W90" s="127">
        <f>(5*E50*S90*E52^4)/(384*E15*10^3*(A90*10^-3)^3*0.08333)*10^3</f>
        <v>1.6347449527305282</v>
      </c>
      <c r="X90" s="127">
        <f>(H90*E52^3)/(48*E15*10^3*(A90*10^-3)^3*0.08333)*10^3</f>
        <v>-0.006465698457442253</v>
      </c>
      <c r="Y90" s="127">
        <f t="shared" si="10"/>
        <v>-0.008172588832487311</v>
      </c>
      <c r="Z90" s="20">
        <f>(1-((4*(100^3-0.1795*E56^1.5))/(2*9*R90*(100^2-0.318*E56))))^2</f>
        <v>0.9628106137555564</v>
      </c>
      <c r="AA90" s="272">
        <f>(V106+W106*Z90)^1</f>
        <v>0.9657700441607993</v>
      </c>
    </row>
    <row r="91" spans="1:27" ht="13.5">
      <c r="A91" s="180">
        <v>90</v>
      </c>
      <c r="B91" s="120">
        <f>ROUND(((0.6631*E43*A91^2*((E15/Q91)^0.5)*10^-3)*AA91),2)</f>
        <v>9.57</v>
      </c>
      <c r="C91" s="114">
        <f t="shared" si="0"/>
        <v>3.58</v>
      </c>
      <c r="D91" s="179">
        <f>ROUND((0.001/(((LN(E15*(A91^4)/(Q91*(E56/3.14159)^2))/2.302585)-0.436)*(0.6325/A91^2)))*E17,2)</f>
        <v>4.38</v>
      </c>
      <c r="E91" s="114">
        <f t="shared" si="2"/>
        <v>1.64</v>
      </c>
      <c r="F91" s="121">
        <f>ROUND(((0.66663*(0.75*(E15/30000))*(A91*6.28318*((E56/3.14159)^0.5+(0.5*A91))*0.5))*(1+((E56/3.14159)/O91^2)))*10^-3,2)</f>
        <v>11.73</v>
      </c>
      <c r="G91" s="122">
        <f t="shared" si="3"/>
        <v>4.39</v>
      </c>
      <c r="H91" s="121">
        <f>ROUND(((E17*10^3-U91)*4*(A91*10^-3)^2*D91)/(D91*S91*6*E52+4*(A91*10^-3)^2*E17*10^3),2)</f>
        <v>0.17</v>
      </c>
      <c r="I91" s="114">
        <f t="shared" si="4"/>
        <v>1.54</v>
      </c>
      <c r="J91" s="177">
        <f t="shared" si="5"/>
        <v>4.63</v>
      </c>
      <c r="K91" s="127">
        <f t="shared" si="6"/>
        <v>3.5</v>
      </c>
      <c r="L91" s="124">
        <f t="shared" si="7"/>
        <v>3.08</v>
      </c>
      <c r="M91" s="125">
        <f t="shared" si="8"/>
        <v>2.7</v>
      </c>
      <c r="N91" s="123">
        <f>ROUND((1.0745*(E15/Q91)^0.25*A91),0)</f>
        <v>2624</v>
      </c>
      <c r="O91" s="124">
        <f t="shared" si="9"/>
        <v>3936</v>
      </c>
      <c r="P91" s="125">
        <f t="shared" si="1"/>
        <v>0.6964</v>
      </c>
      <c r="Q91" s="126">
        <f>(E58/(((E26+E33+E40)/A91)*((E58/(E70+0.0001)))+0.83*((E15/E58)^0.333)-((E26+E33+E40)/A91)))</f>
        <v>0.06267608635427291</v>
      </c>
      <c r="R91" s="127">
        <f>(((E15*(A91^3))/(12*(10^-3)*P91)))^0.25</f>
        <v>1312.3256252902916</v>
      </c>
      <c r="S91" s="127">
        <f>((E15*10^3*(A91*10^-3)^3*0.08333)/(T91+(E15*10^3*(A91*10^-3)^3*0.08333)))</f>
        <v>0.7019271147535704</v>
      </c>
      <c r="T91" s="127">
        <f>(D91*E52^2*300)/(48*V91)</f>
        <v>877.0781250000001</v>
      </c>
      <c r="U91" s="127">
        <f>(S91*E50*E52^2*6)/(8*(A91*10^-3)^2)</f>
        <v>2339.757049178568</v>
      </c>
      <c r="V91" s="127">
        <f>((1+(0.625*(E50+A91*10^-3*E54)*E52)/D91)^-1)</f>
        <v>0.2809042809042809</v>
      </c>
      <c r="W91" s="127">
        <f>(5*E50*S91*E52^4)/(384*E15*10^3*(A91*10^-3)^3*0.08333)*10^3</f>
        <v>1.4337320117673384</v>
      </c>
      <c r="X91" s="127">
        <f>(H91*E52^3)/(48*E15*10^3*(A91*10^-3)^3*0.08333)*10^3</f>
        <v>0.04629814822222519</v>
      </c>
      <c r="Y91" s="127">
        <f t="shared" si="10"/>
        <v>0.06365296803652969</v>
      </c>
      <c r="Z91" s="20">
        <f>(1-((4*(100^3-0.1795*E56^1.5))/(2*9*R91*(100^2-0.318*E56))))^2</f>
        <v>0.9643570244972386</v>
      </c>
      <c r="AA91" s="272">
        <f>(V106+W106*Z91)^1</f>
        <v>0.9671933957334528</v>
      </c>
    </row>
    <row r="92" spans="1:27" ht="13.5">
      <c r="A92" s="33">
        <v>95</v>
      </c>
      <c r="B92" s="120">
        <f>ROUND(((0.6631*E43*A92^2*((E15/Q92)^0.5)*10^-3)*AA92),2)</f>
        <v>10.39</v>
      </c>
      <c r="C92" s="114">
        <f t="shared" si="0"/>
        <v>3.58</v>
      </c>
      <c r="D92" s="121">
        <f>ROUND((0.001/(((LN(E15*(A92^4)/(Q92*(E56/3.14159)^2))/2.302585)-0.436)*(0.6325/A92^2)))*E17,2)</f>
        <v>4.83</v>
      </c>
      <c r="E92" s="114">
        <f t="shared" si="2"/>
        <v>1.66</v>
      </c>
      <c r="F92" s="121">
        <f>ROUND(((0.66663*(0.75*(E15/30000))*(A92*6.28318*((E56/3.14159)^0.5+(0.5*A92))*0.5))*(1+((E56/3.14159)/O92^2)))*10^-3,2)</f>
        <v>12.8</v>
      </c>
      <c r="G92" s="122">
        <f t="shared" si="3"/>
        <v>4.41</v>
      </c>
      <c r="H92" s="121">
        <f>ROUND(((E17*10^3-U92)*4*(A92*10^-3)^2*D92)/(D92*S92*6*E52+4*(A92*10^-3)^2*E17*10^3),2)</f>
        <v>0.37</v>
      </c>
      <c r="I92" s="114">
        <f t="shared" si="4"/>
        <v>1.47</v>
      </c>
      <c r="J92" s="177">
        <f t="shared" si="5"/>
        <v>4.68</v>
      </c>
      <c r="K92" s="127">
        <f t="shared" si="6"/>
        <v>3.55</v>
      </c>
      <c r="L92" s="124">
        <f t="shared" si="7"/>
        <v>3.14</v>
      </c>
      <c r="M92" s="125">
        <f t="shared" si="8"/>
        <v>2.77</v>
      </c>
      <c r="N92" s="123">
        <f>ROUND((1.0745*(E15/Q92)^0.25*A92),0)</f>
        <v>2733</v>
      </c>
      <c r="O92" s="124">
        <f t="shared" si="9"/>
        <v>4100</v>
      </c>
      <c r="P92" s="125">
        <f t="shared" si="1"/>
        <v>0.6964</v>
      </c>
      <c r="Q92" s="126">
        <f>(E58/(((E26+E33+E40)/A92)*((E58/(E70+0.0001)))+0.83*((E15/E58)^0.333)-((E26+E33+E40)/A92)))</f>
        <v>0.06615808981675823</v>
      </c>
      <c r="R92" s="127">
        <f>(((E15*(A92^3))/(12*(10^-3)*P92)))^0.25</f>
        <v>1366.6346605913247</v>
      </c>
      <c r="S92" s="127">
        <f>((E15*10^3*(A92*10^-3)^3*0.08333)/(T92+(E15*10^3*(A92*10^-3)^3*0.08333)))</f>
        <v>0.7266053736200051</v>
      </c>
      <c r="T92" s="127">
        <f>(D92*E52^2*300)/(48*V92)</f>
        <v>913.9921874999999</v>
      </c>
      <c r="U92" s="127">
        <f>(S92*E50*E52^2*6)/(8*(A92*10^-3)^2)</f>
        <v>2173.777849057079</v>
      </c>
      <c r="V92" s="127">
        <f>((1+(0.625*(E50+A92*10^-3*E54)*E52)/D92)^-1)</f>
        <v>0.29725363489499196</v>
      </c>
      <c r="W92" s="127">
        <f>(5*E50*S92*E52^4)/(384*E15*10^3*(A92*10^-3)^3*0.08333)*10^3</f>
        <v>1.26191842317099</v>
      </c>
      <c r="X92" s="127">
        <f>(H92*E52^3)/(48*E15*10^3*(A92*10^-3)^3*0.08333)*10^3</f>
        <v>0.08567875282784011</v>
      </c>
      <c r="Y92" s="127">
        <f t="shared" si="10"/>
        <v>0.12716356107660456</v>
      </c>
      <c r="Z92" s="20">
        <f>(1-((4*(100^3-0.1795*E56^1.5))/(2*9*R92*(100^2-0.318*E56))))^2</f>
        <v>0.9657611088172234</v>
      </c>
      <c r="AA92" s="272">
        <f>(V106+W106*Z92)^1</f>
        <v>0.9684857468346968</v>
      </c>
    </row>
    <row r="93" spans="1:27" ht="13.5">
      <c r="A93" s="33">
        <v>100</v>
      </c>
      <c r="B93" s="120">
        <f>ROUND(((0.6631*E43*A93^2*((E15/Q93)^0.5)*10^-3)*AA93),2)</f>
        <v>11.23</v>
      </c>
      <c r="C93" s="114">
        <f t="shared" si="0"/>
        <v>3.57</v>
      </c>
      <c r="D93" s="121">
        <f>ROUND((0.001/(((LN(E15*(A93^4)/(Q93*(E56/3.14159)^2))/2.302585)-0.436)*(0.6325/A93^2)))*E17,2)</f>
        <v>5.3</v>
      </c>
      <c r="E93" s="114">
        <f t="shared" si="2"/>
        <v>1.68</v>
      </c>
      <c r="F93" s="121">
        <f>ROUND(((0.66663*(0.75*(E15/30000))*(A93*6.28318*((E56/3.14159)^0.5+(0.5*A93))*0.5))*(1+((E56/3.14159)/O93^2)))*10^-3,2)</f>
        <v>13.92</v>
      </c>
      <c r="G93" s="122">
        <f t="shared" si="3"/>
        <v>4.43</v>
      </c>
      <c r="H93" s="121">
        <f>ROUND(((E17*10^3-U93)*4*(A93*10^-3)^2*D93)/(D93*S93*6*E52+4*(A93*10^-3)^2*E17*10^3),2)</f>
        <v>0.59</v>
      </c>
      <c r="I93" s="114">
        <f t="shared" si="4"/>
        <v>1.42</v>
      </c>
      <c r="J93" s="177">
        <f t="shared" si="5"/>
        <v>4.73</v>
      </c>
      <c r="K93" s="127">
        <f t="shared" si="6"/>
        <v>3.6</v>
      </c>
      <c r="L93" s="124">
        <f t="shared" si="7"/>
        <v>3.2</v>
      </c>
      <c r="M93" s="125">
        <f t="shared" si="8"/>
        <v>2.84</v>
      </c>
      <c r="N93" s="123">
        <f>ROUND((1.0745*(E15/Q93)^0.25*A93),0)</f>
        <v>2840</v>
      </c>
      <c r="O93" s="124">
        <f t="shared" si="9"/>
        <v>4260</v>
      </c>
      <c r="P93" s="125">
        <f t="shared" si="1"/>
        <v>0.6964</v>
      </c>
      <c r="Q93" s="126">
        <f>(E58/(((E26+E33+E40)/A93)*((E58/(E70+0.0001)))+0.83*((E15/E58)^0.333)-((E26+E33+E40)/A93)))</f>
        <v>0.06964009313872002</v>
      </c>
      <c r="R93" s="127">
        <f>(((E15*(A93^3))/(12*(10^-3)*P93)))^0.25</f>
        <v>1420.2334172918488</v>
      </c>
      <c r="S93" s="127">
        <f>((E15*10^3*(A93*10^-3)^3*0.08333)/(T93+(E15*10^3*(A93*10^-3)^3*0.08333)))</f>
        <v>0.7484892845620222</v>
      </c>
      <c r="T93" s="127">
        <f>(D93*E52^2*300)/(48*V93)</f>
        <v>952.0312499999999</v>
      </c>
      <c r="U93" s="127">
        <f>(S93*E50*E52^2*6)/(8*(A93*10^-3)^2)</f>
        <v>2020.9210683174597</v>
      </c>
      <c r="V93" s="127">
        <f>((1+(0.625*(E50+A93*10^-3*E54)*E52)/D93)^-1)</f>
        <v>0.31314623338257014</v>
      </c>
      <c r="W93" s="127">
        <f>(5*E50*S93*E52^4)/(384*E15*10^3*(A93*10^-3)^3*0.08333)*10^3</f>
        <v>1.1145231112465783</v>
      </c>
      <c r="X93" s="127">
        <f>(H93*E52^3)/(48*E15*10^3*(A93*10^-3)^3*0.08333)*10^3</f>
        <v>0.11713703842271335</v>
      </c>
      <c r="Y93" s="127">
        <f t="shared" si="10"/>
        <v>0.1870188679245283</v>
      </c>
      <c r="Z93" s="20">
        <f>(1-((4*(100^3-0.1795*E56^1.5))/(2*9*R93*(100^2-0.318*E56))))^2</f>
        <v>0.9670424347466755</v>
      </c>
      <c r="AA93" s="272">
        <f>(V106+W106*Z93)^1</f>
        <v>0.9696651083248939</v>
      </c>
    </row>
    <row r="94" spans="1:27" ht="13.5">
      <c r="A94" s="33">
        <v>105</v>
      </c>
      <c r="B94" s="120">
        <f>ROUND(((0.6631*E43*A94^2*((E15/Q94)^0.5)*10^-3)*AA94),2)</f>
        <v>12.1</v>
      </c>
      <c r="C94" s="114">
        <f t="shared" si="0"/>
        <v>3.58</v>
      </c>
      <c r="D94" s="121">
        <f>ROUND((0.001/(((LN(E15*(A94^4)/(Q94*(E56/3.14159)^2))/2.302585)-0.436)*(0.6325/A94^2)))*E17,2)</f>
        <v>5.8</v>
      </c>
      <c r="E94" s="114">
        <f t="shared" si="2"/>
        <v>1.72</v>
      </c>
      <c r="F94" s="121">
        <f>ROUND(((0.66663*(0.75*(E15/30000))*(A94*6.28318*((E56/3.14159)^0.5+(0.5*A94))*0.5))*(1+((E56/3.14159)/O94^2)))*10^-3,2)</f>
        <v>15.09</v>
      </c>
      <c r="G94" s="122">
        <f t="shared" si="3"/>
        <v>4.46</v>
      </c>
      <c r="H94" s="121">
        <f>ROUND(((E17*10^3-U94)*4*(A94*10^-3)^2*D94)/(D94*S94*6*E52+4*(A94*10^-3)^2*E17*10^3),2)</f>
        <v>0.83</v>
      </c>
      <c r="I94" s="114">
        <f t="shared" si="4"/>
        <v>1.38</v>
      </c>
      <c r="J94" s="177">
        <f t="shared" si="5"/>
        <v>4.77</v>
      </c>
      <c r="K94" s="127">
        <f t="shared" si="6"/>
        <v>3.65</v>
      </c>
      <c r="L94" s="124">
        <f t="shared" si="7"/>
        <v>3.26</v>
      </c>
      <c r="M94" s="125">
        <f t="shared" si="8"/>
        <v>2.9</v>
      </c>
      <c r="N94" s="123">
        <f>ROUND((1.0745*(E15/Q94)^0.25*A94),0)</f>
        <v>2946</v>
      </c>
      <c r="O94" s="124">
        <f t="shared" si="9"/>
        <v>4419</v>
      </c>
      <c r="P94" s="125">
        <f t="shared" si="1"/>
        <v>0.6964</v>
      </c>
      <c r="Q94" s="126">
        <f>(E58/(((E26+E33+E40)/A94)*((E58/(E70+0.0001)))+0.83*((E15/E58)^0.333)-((E26+E33+E40)/A94)))</f>
        <v>0.07312209632015829</v>
      </c>
      <c r="R94" s="127">
        <f>(((E15*(A94^3))/(12*(10^-3)*P94)))^0.25</f>
        <v>1473.166049049603</v>
      </c>
      <c r="S94" s="127">
        <f>((E15*10^3*(A94*10^-3)^3*0.08333)/(T94+(E15*10^3*(A94*10^-3)^3*0.08333)))</f>
        <v>0.7678232643126321</v>
      </c>
      <c r="T94" s="127">
        <f>(D94*E52^2*300)/(48*V94)</f>
        <v>991.7578125</v>
      </c>
      <c r="U94" s="127">
        <f>(S94*E50*E52^2*6)/(8*(A94*10^-3)^2)</f>
        <v>1880.3835044390994</v>
      </c>
      <c r="V94" s="127">
        <f>((1+(0.625*(E50+A94*10^-3*E54)*E52)/D94)^-1)</f>
        <v>0.3289613612194257</v>
      </c>
      <c r="W94" s="127">
        <f>(5*E50*S94*E52^4)/(384*E15*10^3*(A94*10^-3)^3*0.08333)*10^3</f>
        <v>0.9876358838172324</v>
      </c>
      <c r="X94" s="127">
        <f>(H94*E52^3)/(48*E15*10^3*(A94*10^-3)^3*0.08333)*10^3</f>
        <v>0.142348345280064</v>
      </c>
      <c r="Y94" s="127">
        <f t="shared" si="10"/>
        <v>0.24613793103448278</v>
      </c>
      <c r="Z94" s="20">
        <f>(1-((4*(100^3-0.1795*E56^1.5))/(2*9*R94*(100^2-0.318*E56))))^2</f>
        <v>0.9682170749699646</v>
      </c>
      <c r="AA94" s="272">
        <f>(V106+W106*Z94)^1</f>
        <v>0.970746273867822</v>
      </c>
    </row>
    <row r="95" spans="1:27" ht="13.5">
      <c r="A95" s="33">
        <v>110</v>
      </c>
      <c r="B95" s="120">
        <f>ROUND(((0.6631*E43*A95^2*((E15/Q95)^0.5)*10^-3)*AA95),2)</f>
        <v>12.99</v>
      </c>
      <c r="C95" s="114">
        <f t="shared" si="0"/>
        <v>3.58</v>
      </c>
      <c r="D95" s="121">
        <f>ROUND((0.001/(((LN(E15*(A95^4)/(Q95*(E56/3.14154)^2))/2.302585)-0.436)*(0.6325/A95^2)))*E17,2)</f>
        <v>6.31</v>
      </c>
      <c r="E95" s="114">
        <f t="shared" si="2"/>
        <v>1.74</v>
      </c>
      <c r="F95" s="121">
        <f>ROUND(((0.66663*(0.75*(E15/30000))*(A95*6.28318*((E56/3.14159)^0.5+(0.5*A95))*0.5))*(1+((E56/3.14159)/O95^2)))*10^-3,2)</f>
        <v>16.29</v>
      </c>
      <c r="G95" s="122">
        <f t="shared" si="3"/>
        <v>4.49</v>
      </c>
      <c r="H95" s="121">
        <f>ROUND(((E17*10^3-U95)*4*(A95*10^-3)^2*D95)/(D95*S95*6*E52+4*(A95*10^-3)^2*E17*10^3),2)</f>
        <v>1.09</v>
      </c>
      <c r="I95" s="114">
        <f t="shared" si="4"/>
        <v>1.34</v>
      </c>
      <c r="J95" s="177">
        <f t="shared" si="5"/>
        <v>4.81</v>
      </c>
      <c r="K95" s="127">
        <f t="shared" si="6"/>
        <v>3.69</v>
      </c>
      <c r="L95" s="127">
        <f t="shared" si="7"/>
        <v>3.31</v>
      </c>
      <c r="M95" s="125">
        <f t="shared" si="8"/>
        <v>2.96</v>
      </c>
      <c r="N95" s="123">
        <f>ROUND((1.0745*(E15/Q95)^0.25*A95),0)</f>
        <v>3051</v>
      </c>
      <c r="O95" s="124">
        <f t="shared" si="9"/>
        <v>4577</v>
      </c>
      <c r="P95" s="125">
        <f t="shared" si="1"/>
        <v>0.6964</v>
      </c>
      <c r="Q95" s="126">
        <f>(E58/(((E26+E33+E40)/A95)*((E58/(E70+0.0001)))+0.83*((E15/E58)^0.333)-((E26+E33+E40)/A95)))</f>
        <v>0.07660409936107299</v>
      </c>
      <c r="R95" s="127">
        <f>(((E15*(A95^3))/(12*(10^-3)*P95)))^0.25</f>
        <v>1525.4720014705463</v>
      </c>
      <c r="S95" s="127">
        <f>((E15*10^3*(A95*10^-3)^3*0.08333)/(T95+(E15*10^3*(A95*10^-3)^3*0.08333)))</f>
        <v>0.7851273363401308</v>
      </c>
      <c r="T95" s="127">
        <f>(D95*E52^2*300)/(48*V95)</f>
        <v>1032.046875</v>
      </c>
      <c r="U95" s="127">
        <f>(S95*E50*E52^2*6)/(8*(A95*10^-3)^2)</f>
        <v>1751.9370315027713</v>
      </c>
      <c r="V95" s="127">
        <f>((1+(0.625*(E50+A95*10^-3*E54)*E52)/D95)^-1)</f>
        <v>0.3439160648589726</v>
      </c>
      <c r="W95" s="127">
        <f>(5*E50*S95*E52^4)/(384*E15*10^3*(A95*10^-3)^3*0.08333)*10^3</f>
        <v>0.8783458113906631</v>
      </c>
      <c r="X95" s="127">
        <f>(H95*E52^3)/(48*E15*10^3*(A95*10^-3)^3*0.08333)*10^3</f>
        <v>0.16258881671835576</v>
      </c>
      <c r="Y95" s="127">
        <f t="shared" si="10"/>
        <v>0.30057052297939785</v>
      </c>
      <c r="Z95" s="20">
        <f>(1-((4*(100^3-0.1795*E56^1.5))/(2*9*R95*(100^2-0.318*E56))))^2</f>
        <v>0.9692983619294234</v>
      </c>
      <c r="AA95" s="272">
        <f>(V106+W106*Z95)^1</f>
        <v>0.9717415149462442</v>
      </c>
    </row>
    <row r="96" spans="1:27" ht="13.5">
      <c r="A96" s="33">
        <v>115</v>
      </c>
      <c r="B96" s="120">
        <f>ROUND(((0.6631*E43*A96^2*((E15/Q96)^0.5)*10^-3)*AA96),2)</f>
        <v>13.89</v>
      </c>
      <c r="C96" s="114">
        <f t="shared" si="0"/>
        <v>3.57</v>
      </c>
      <c r="D96" s="121">
        <f>ROUND((0.001/(((LN(E15*(A96^4)/(Q96*(E56/3.14159)^2))/2.302585)-0.436)*(0.6325/A96^2)))*E17,2)</f>
        <v>6.85</v>
      </c>
      <c r="E96" s="114">
        <f t="shared" si="2"/>
        <v>1.76</v>
      </c>
      <c r="F96" s="121">
        <f>ROUND(((0.66663*(0.75*(E15/30000))*(A96*6.28318*((E56/3.14159)^0.5+(0.5*A96))*0.5))*(1+((E56/3.14159)/O96^2)))*10^-3,2)</f>
        <v>17.55</v>
      </c>
      <c r="G96" s="122">
        <f t="shared" si="3"/>
        <v>4.51</v>
      </c>
      <c r="H96" s="121">
        <f>ROUND(((E17*10^3-U96)*4*(A96*10^-3)^2*D96)/(D96*S96*6*E52+4*(A96*10^-3)^2*E17*10^3),2)</f>
        <v>1.36</v>
      </c>
      <c r="I96" s="114">
        <f t="shared" si="4"/>
        <v>1.31</v>
      </c>
      <c r="J96" s="177">
        <f t="shared" si="5"/>
        <v>4.85</v>
      </c>
      <c r="K96" s="127">
        <f t="shared" si="6"/>
        <v>3.73</v>
      </c>
      <c r="L96" s="127">
        <f t="shared" si="7"/>
        <v>3.36</v>
      </c>
      <c r="M96" s="125">
        <f t="shared" si="8"/>
        <v>3.02</v>
      </c>
      <c r="N96" s="123">
        <f>ROUND((1.0745*(E15/Q96)^0.25*A96),0)</f>
        <v>3154</v>
      </c>
      <c r="O96" s="124">
        <f t="shared" si="9"/>
        <v>4731</v>
      </c>
      <c r="P96" s="125">
        <f t="shared" si="1"/>
        <v>0.6964</v>
      </c>
      <c r="Q96" s="126">
        <f>(E58/(((E26+E33+E40)/A96)*((E58/(E70+0.0001)))+0.83*((E15/E58)^0.333)-((E26+E33+E40)/A96)))</f>
        <v>0.08008610226146419</v>
      </c>
      <c r="R96" s="127">
        <f>(((E15*(A96^3))/(12*(10^-3)*P96)))^0.25</f>
        <v>1577.1867046371465</v>
      </c>
      <c r="S96" s="127">
        <f>((E15*10^3*(A96*10^-3)^3*0.08333)/(T96+(E15*10^3*(A96*10^-3)^3*0.08333)))</f>
        <v>0.8004785333421996</v>
      </c>
      <c r="T96" s="127">
        <f>(D96*E52^2*300)/(48*V96)</f>
        <v>1074.0234375</v>
      </c>
      <c r="U96" s="127">
        <f>(S96*E50*E52^2*6)/(8*(A96*10^-3)^2)</f>
        <v>1634.247289243054</v>
      </c>
      <c r="V96" s="127">
        <f>((1+(0.625*(E50+A96*10^-3*E54)*E52)/D96)^-1)</f>
        <v>0.35875613747954177</v>
      </c>
      <c r="W96" s="127">
        <f>(5*E50*S96*E52^4)/(384*E15*10^3*(A96*10^-3)^3*0.08333)*10^3</f>
        <v>0.7837177086394777</v>
      </c>
      <c r="X96" s="127">
        <f>(H96*E52^3)/(48*E15*10^3*(A96*10^-3)^3*0.08333)*10^3</f>
        <v>0.17753648421600549</v>
      </c>
      <c r="Y96" s="127">
        <f t="shared" si="10"/>
        <v>0.34943065693430664</v>
      </c>
      <c r="Z96" s="20">
        <f>(1-((4*(100^3-0.1795*E56^1.5))/(2*9*R96*(100^2-0.318*E56))))^2</f>
        <v>0.9702974540118975</v>
      </c>
      <c r="AA96" s="272">
        <f>(V106+W106*Z96)^1</f>
        <v>0.9726611019928707</v>
      </c>
    </row>
    <row r="97" spans="1:27" ht="14.25" thickBot="1">
      <c r="A97" s="33">
        <v>120</v>
      </c>
      <c r="B97" s="120">
        <f>ROUND(((0.6631*E43*A97^2*((E15/Q97)^0.5)*10^-3)*AA97),2)</f>
        <v>14.82</v>
      </c>
      <c r="C97" s="114">
        <f t="shared" si="0"/>
        <v>3.57</v>
      </c>
      <c r="D97" s="121">
        <f>ROUND((0.001/(((LN(E15*(A97^4)/(Q97*(E56/3.14159)^2))/2.302585)-0.436)*(0.6325/A97^2)))*E17,2)</f>
        <v>7.4</v>
      </c>
      <c r="E97" s="114">
        <f t="shared" si="2"/>
        <v>1.78</v>
      </c>
      <c r="F97" s="121">
        <f>ROUND(((0.66663*(0.75*(E15/30000))*(A97*6.28318*((E56/3.14159)^0.5+(0.5*A97))*0.5))*(1+((E56/3.14159)/O97^2)))*10^-3,2)</f>
        <v>18.84</v>
      </c>
      <c r="G97" s="122">
        <f t="shared" si="3"/>
        <v>4.54</v>
      </c>
      <c r="H97" s="121">
        <f>ROUND(((E17*10^3-U97)*4*(A97*10^-3)^2*D97)/(D97*S97*6*E52+4*(A97*10^-3)^2*E17*10^3),2)</f>
        <v>1.64</v>
      </c>
      <c r="I97" s="114">
        <f>ROUND((W97+X97+Y97),2)</f>
        <v>1.28</v>
      </c>
      <c r="J97" s="177">
        <f t="shared" si="5"/>
        <v>4.88</v>
      </c>
      <c r="K97" s="127">
        <f t="shared" si="6"/>
        <v>3.76</v>
      </c>
      <c r="L97" s="127">
        <f t="shared" si="7"/>
        <v>3.4</v>
      </c>
      <c r="M97" s="125">
        <f t="shared" si="8"/>
        <v>3.07</v>
      </c>
      <c r="N97" s="123">
        <f>ROUND((1.0745*(E15/Q97)^0.25*A97),0)</f>
        <v>3256</v>
      </c>
      <c r="O97" s="124">
        <f t="shared" si="9"/>
        <v>4884</v>
      </c>
      <c r="P97" s="125">
        <f t="shared" si="1"/>
        <v>0.6964</v>
      </c>
      <c r="Q97" s="126">
        <f>(E58/(((E26+E33+E40)/A97)*((E58/(E70+0.0001)))+0.83*((E15/E58)^0.333)-((E26+E33+E40)/A97)))</f>
        <v>0.08356810502133184</v>
      </c>
      <c r="R97" s="127">
        <f>(((E15*(A97^3))/(12*(10^-3)*P97)))^0.25</f>
        <v>1628.3421381591288</v>
      </c>
      <c r="S97" s="127">
        <f>((E15*10^3*(A97*10^-3)^3*0.08333)/(T97+(E15*10^3*(A97*10^-3)^3*0.08333)))</f>
        <v>0.8142890207564287</v>
      </c>
      <c r="T97" s="127">
        <f>(D97*E52^2*300)/(48*V97)</f>
        <v>1116.5625000000002</v>
      </c>
      <c r="U97" s="127">
        <f>(S97*E50*E52^2*6)/(8*(A97*10^-3)^2)</f>
        <v>1526.7919139183039</v>
      </c>
      <c r="V97" s="127">
        <f>((1+(0.625*(E50+A97*10^-3*E54)*E52)/D97)^-1)</f>
        <v>0.37279596977329976</v>
      </c>
      <c r="W97" s="127">
        <f>(5*E50*S97*E52^4)/(384*E15*10^3*(A97*10^-3)^3*0.08333)*10^3</f>
        <v>0.70167876288503</v>
      </c>
      <c r="X97" s="127">
        <f>(H97*E52^3)/(48*E15*10^3*(A97*10^-3)^3*0.08333)*10^3</f>
        <v>0.18842665471324732</v>
      </c>
      <c r="Y97" s="127">
        <f t="shared" si="10"/>
        <v>0.3944864864864865</v>
      </c>
      <c r="Z97" s="20">
        <f>(1-((4*(100^3-0.1795*E56^1.5))/(2*9*R97*(100^2-0.318*E56))))^2</f>
        <v>0.9712237659974525</v>
      </c>
      <c r="AA97" s="272">
        <f>(V106+W106*Z97)^1</f>
        <v>0.9735137005851267</v>
      </c>
    </row>
    <row r="98" spans="1:27" ht="13.5">
      <c r="A98" s="129">
        <v>130</v>
      </c>
      <c r="B98" s="130">
        <f>ROUND(((0.6631*E43*A98^2*((E15/Q98)^0.5)*10^-3)*AA98),2)</f>
        <v>16.74</v>
      </c>
      <c r="C98" s="131">
        <f t="shared" si="0"/>
        <v>3.58</v>
      </c>
      <c r="D98" s="132">
        <f>ROUND((0.001/(((LN(E15*(A98^4)/(Q98*(E56/3.14159)^2))/2.302585)-0.436)*(0.6325/A98^2)))*E17,2)</f>
        <v>8.57</v>
      </c>
      <c r="E98" s="131">
        <f t="shared" si="2"/>
        <v>1.83</v>
      </c>
      <c r="F98" s="132">
        <f>ROUND(((0.66663*(0.75*(E15/30000))*(A98*6.28318*((E56/3.14159)^0.5+(0.5*A98))*0.5))*(1+((E56/3.14159)/O98^2)))*10^-3,2)</f>
        <v>21.57</v>
      </c>
      <c r="G98" s="135">
        <f t="shared" si="3"/>
        <v>4.61</v>
      </c>
      <c r="H98" s="132">
        <f>ROUND(((E17*10^3-U98)*4*(A98*10^-3)^2*D98)/(D98*S98*6*E52+4*(A98*10^-3)^2*E17*10^3),2)</f>
        <v>2.26</v>
      </c>
      <c r="I98" s="135">
        <f t="shared" si="4"/>
        <v>1.25</v>
      </c>
      <c r="J98" s="178">
        <f t="shared" si="5"/>
        <v>4.94</v>
      </c>
      <c r="K98" s="170">
        <f t="shared" si="6"/>
        <v>3.83</v>
      </c>
      <c r="L98" s="170">
        <f t="shared" si="7"/>
        <v>3.48</v>
      </c>
      <c r="M98" s="175">
        <f t="shared" si="8"/>
        <v>3.16</v>
      </c>
      <c r="N98" s="133">
        <f>ROUND((1.0745*(E15/Q98)^0.25*A98),0)</f>
        <v>3458</v>
      </c>
      <c r="O98" s="134">
        <f t="shared" si="9"/>
        <v>5187</v>
      </c>
      <c r="P98" s="135">
        <f t="shared" si="1"/>
        <v>0.6964</v>
      </c>
      <c r="Q98" s="169">
        <f>(E58/(((E26+E33+E40)/A98)*((E58/(E70+0.0001)))+0.83*((E15/E58)^0.333)-((E26+E33+E40)/A98)))</f>
        <v>0.09053211011949666</v>
      </c>
      <c r="R98" s="170">
        <f>(((E15*(A98^3))/(12*(10^-3)*P98)))^0.25</f>
        <v>1729.088575702994</v>
      </c>
      <c r="S98" s="170">
        <f>((E15*10^3*(A98*10^-3)^3*0.08333)/(T98+(E15*10^3*(A98*10^-3)^3*0.08333)))</f>
        <v>0.8377453883843171</v>
      </c>
      <c r="T98" s="170">
        <f>(D98*E52^2*300)/(48*V98)</f>
        <v>1205.5781250000002</v>
      </c>
      <c r="U98" s="170">
        <f>(S98*E50*E52^2*6)/(8*(A98*10^-3)^2)</f>
        <v>1338.4097920932875</v>
      </c>
      <c r="V98" s="170">
        <f>((1+(0.625*(E50+A98*10^-3*E54)*E52)/D98)^-1)</f>
        <v>0.39986002566196194</v>
      </c>
      <c r="W98" s="170">
        <f>(5*E50*S98*E52^4)/(384*E15*10^3*(A98*10^-3)^3*0.08333)*10^3</f>
        <v>0.5677870463630568</v>
      </c>
      <c r="X98" s="170">
        <f>(H98*E52^3)/(48*E15*10^3*(A98*10^-3)^3*0.08333)*10^3</f>
        <v>0.20423050449020017</v>
      </c>
      <c r="Y98" s="170">
        <f t="shared" si="10"/>
        <v>0.48259043173862304</v>
      </c>
      <c r="Z98" s="266">
        <f>(1-((4*(100^3-0.1795*E56^1.5))/(2*9*R98*(100^2-0.318*E56))))^2</f>
        <v>0.9728889057744325</v>
      </c>
      <c r="AA98" s="273">
        <f>(V106+W106*Z98)^1</f>
        <v>0.9750463330587437</v>
      </c>
    </row>
    <row r="99" spans="1:27" ht="13.5">
      <c r="A99" s="33">
        <v>140</v>
      </c>
      <c r="B99" s="120">
        <f>ROUND(((0.6631*E43*A99^2*((E15/Q99)^0.5)*10^-3)*AA99),2)</f>
        <v>18.73</v>
      </c>
      <c r="C99" s="114">
        <f t="shared" si="0"/>
        <v>3.57</v>
      </c>
      <c r="D99" s="121">
        <f>ROUND((0.001/(((LN(E15*(A99^4)/(Q99*(E56/3.14159)^2))/2.302585)-0.436)*(0.6325/A99^2)))*E17,2)</f>
        <v>9.82</v>
      </c>
      <c r="E99" s="114">
        <f t="shared" si="2"/>
        <v>1.87</v>
      </c>
      <c r="F99" s="121">
        <f>ROUND(((0.66663*(0.75*(E15/30000))*(A99*6.28318*((E56/3.14159)^0.5+(0.5*A99))*0.5))*(1+((E56/3.14159)/O99^2)))*10^-3,2)</f>
        <v>24.48</v>
      </c>
      <c r="G99" s="122">
        <f t="shared" si="3"/>
        <v>4.67</v>
      </c>
      <c r="H99" s="121">
        <f>ROUND(((E17*10^3-U99)*4*(A99*10^-3)^2*D99)/(D99*S99*6*E52+4*(A99*10^-3)^2*E17*10^3),2)</f>
        <v>2.92</v>
      </c>
      <c r="I99" s="114">
        <f t="shared" si="4"/>
        <v>1.23</v>
      </c>
      <c r="J99" s="177">
        <f t="shared" si="5"/>
        <v>5</v>
      </c>
      <c r="K99" s="127">
        <f t="shared" si="6"/>
        <v>3.89</v>
      </c>
      <c r="L99" s="127">
        <f t="shared" si="7"/>
        <v>3.56</v>
      </c>
      <c r="M99" s="176">
        <f t="shared" si="8"/>
        <v>3.25</v>
      </c>
      <c r="N99" s="123">
        <f>ROUND((1.0745*(E15/Q99)^0.25*A99),0)</f>
        <v>3656</v>
      </c>
      <c r="O99" s="124">
        <f t="shared" si="9"/>
        <v>5484</v>
      </c>
      <c r="P99" s="125">
        <f t="shared" si="1"/>
        <v>0.6964</v>
      </c>
      <c r="Q99" s="126">
        <f>(E58/(((E26+E33+E40)/A99)*((E58/(E70+0.0001)))+0.83*((E15/E58)^0.333)-((E26+E33+E40)/A99)))</f>
        <v>0.09749611465556755</v>
      </c>
      <c r="R99" s="127">
        <f>(((E15*(A99^3))/(12*(10^-3)*P99)))^0.25</f>
        <v>1827.9139780130706</v>
      </c>
      <c r="S99" s="127">
        <f>((E15*10^3*(A99*10^-3)^3*0.08333)/(T99+(E15*10^3*(A99*10^-3)^3*0.08333)))</f>
        <v>0.8568247103791926</v>
      </c>
      <c r="T99" s="127">
        <f>(D99*E52^2*300)/(48*V99)</f>
        <v>1299.0937499999995</v>
      </c>
      <c r="U99" s="127">
        <f>(S99*E50*E52^2*6)/(8*(A99*10^-3)^2)</f>
        <v>1180.3197540937856</v>
      </c>
      <c r="V99" s="127">
        <f>((1+(0.625*(E50+A99*10^-3*E54)*E52)/D99)^-1)</f>
        <v>0.42520025979649284</v>
      </c>
      <c r="W99" s="127">
        <f>(5*E50*S99*E52^4)/(384*E15*10^3*(A99*10^-3)^3*0.08333)*10^3</f>
        <v>0.46495547614464405</v>
      </c>
      <c r="X99" s="127">
        <f>(H99*E52^3)/(48*E15*10^3*(A99*10^-3)^3*0.08333)*10^3</f>
        <v>0.2112715275203359</v>
      </c>
      <c r="Y99" s="127">
        <f t="shared" si="10"/>
        <v>0.5560488798370673</v>
      </c>
      <c r="Z99" s="20">
        <f>(1-((4*(100^3-0.1795*E56^1.5))/(2*9*R99*(100^2-0.318*E56))))^2</f>
        <v>0.9743451287062771</v>
      </c>
      <c r="AA99" s="272">
        <f>(V106+W106*Z99)^1</f>
        <v>0.976386673722648</v>
      </c>
    </row>
    <row r="100" spans="1:27" ht="13.5">
      <c r="A100" s="33">
        <v>150</v>
      </c>
      <c r="B100" s="120">
        <f>ROUND(((0.6631*E43*A100^2*((E15/Q100)^0.5)*10^-3)*AA100),2)</f>
        <v>20.8</v>
      </c>
      <c r="C100" s="114">
        <f t="shared" si="0"/>
        <v>3.57</v>
      </c>
      <c r="D100" s="121">
        <f>ROUND((0.001/(((LN(E15*(A100^4)/(Q100*(E56/3.14159)^2))/2.302585)-0.436)*(0.6325/A100^2)))*E17,2)</f>
        <v>11.15</v>
      </c>
      <c r="E100" s="114">
        <f t="shared" si="2"/>
        <v>1.91</v>
      </c>
      <c r="F100" s="121">
        <f>ROUND(((0.66663*(0.75*(E15/30000))*(A100*6.28318*((E56/3.14159)^0.5+(0.5*A100))*0.5))*(1+((E56/3.14159)/O100^2)))*10^-3,2)</f>
        <v>27.56</v>
      </c>
      <c r="G100" s="122">
        <f t="shared" si="3"/>
        <v>4.73</v>
      </c>
      <c r="H100" s="121">
        <f>ROUND(((E17*10^3-U100)*4*(A100*10^-3)^2*D100)/(D100*S100*6*E52+4*(A100*10^-3)^2*E17*10^3),2)</f>
        <v>3.64</v>
      </c>
      <c r="I100" s="114">
        <f t="shared" si="4"/>
        <v>1.22</v>
      </c>
      <c r="J100" s="177">
        <f t="shared" si="5"/>
        <v>5.04</v>
      </c>
      <c r="K100" s="127">
        <f t="shared" si="6"/>
        <v>3.94</v>
      </c>
      <c r="L100" s="127">
        <f t="shared" si="7"/>
        <v>3.62</v>
      </c>
      <c r="M100" s="176">
        <f t="shared" si="8"/>
        <v>3.32</v>
      </c>
      <c r="N100" s="123">
        <f>ROUND((1.0745*(E15/Q100)^0.25*A100),0)</f>
        <v>3850</v>
      </c>
      <c r="O100" s="124">
        <f t="shared" si="9"/>
        <v>5775</v>
      </c>
      <c r="P100" s="125">
        <f t="shared" si="1"/>
        <v>0.6964</v>
      </c>
      <c r="Q100" s="126">
        <f>(E58/(((E26+E33+E40)/A100)*((E58/(E70+0.0001)))+0.83*((E15/E58)^0.333)-((E26+E33+E40)/A100)))</f>
        <v>0.10446011862954452</v>
      </c>
      <c r="R100" s="127">
        <f>(((E15*(A100^3))/(12*(10^-3)*P100)))^0.25</f>
        <v>1924.9886421878562</v>
      </c>
      <c r="S100" s="127">
        <f>((E15*10^3*(A100*10^-3)^3*0.08333)/(T100+(E15*10^3*(A100*10^-3)^3*0.08333)))</f>
        <v>0.8725175241889497</v>
      </c>
      <c r="T100" s="127">
        <f>(D100*E52^2*300)/(48*V100)</f>
        <v>1397.109375</v>
      </c>
      <c r="U100" s="127">
        <f>(S100*E50*E52^2*6)/(8*(A100*10^-3)^2)</f>
        <v>1047.0210290267396</v>
      </c>
      <c r="V100" s="127">
        <f>((1+(0.625*(E50+A100*10^-3*E54)*E52)/D100)^-1)</f>
        <v>0.4489179667840967</v>
      </c>
      <c r="W100" s="127">
        <f>(5*E50*S100*E52^4)/(384*E15*10^3*(A100*10^-3)^3*0.08333)*10^3</f>
        <v>0.3849495998320593</v>
      </c>
      <c r="X100" s="127">
        <f>(H100*E52^3)/(48*E15*10^3*(A100*10^-3)^3*0.08333)*10^3</f>
        <v>0.2141262121073078</v>
      </c>
      <c r="Y100" s="127">
        <f t="shared" si="10"/>
        <v>0.6235336322869955</v>
      </c>
      <c r="Z100" s="20">
        <f>(1-((4*(100^3-0.1795*E56^1.5))/(2*9*R100*(100^2-0.318*E56))))^2</f>
        <v>0.9756308884004927</v>
      </c>
      <c r="AA100" s="272">
        <f>(V106+W106*Z100)^1</f>
        <v>0.9775701161506445</v>
      </c>
    </row>
    <row r="101" spans="1:27" ht="13.5">
      <c r="A101" s="182">
        <v>160</v>
      </c>
      <c r="B101" s="120">
        <f>ROUND(((0.6631*E43*A101^2*((E15/Q101)^0.5)*10^-3)*AA101),2)</f>
        <v>22.94</v>
      </c>
      <c r="C101" s="114">
        <f t="shared" si="0"/>
        <v>3.58</v>
      </c>
      <c r="D101" s="121">
        <f>ROUND((0.001/(((LN(E15*(A101^4)/(Q101*(E56/3.14159)^2))/2.302585)-0.436)*(0.6325/A101^2)))*E17,2)</f>
        <v>12.55</v>
      </c>
      <c r="E101" s="114">
        <f t="shared" si="2"/>
        <v>1.96</v>
      </c>
      <c r="F101" s="121">
        <f>ROUND(((0.66663*(0.75*(E15/30000))*(A101*6.28318*((E56/3.14159)^0.5+(0.5*A101))*0.5))*(1+((E56/3.14159)/O101^2)))*10^-3,2)</f>
        <v>30.82</v>
      </c>
      <c r="G101" s="122">
        <f t="shared" si="3"/>
        <v>4.81</v>
      </c>
      <c r="H101" s="181">
        <f>ROUND(((E17*10^3-U101)*4*(A101*10^-3)^2*D101)/(D101*S101*6*E52+4*(A101*10^-3)^2*E17*10^3),2)</f>
        <v>4.41</v>
      </c>
      <c r="I101" s="114">
        <f t="shared" si="4"/>
        <v>1.22</v>
      </c>
      <c r="J101" s="177">
        <f t="shared" si="5"/>
        <v>5.09</v>
      </c>
      <c r="K101" s="127">
        <f t="shared" si="6"/>
        <v>3.98</v>
      </c>
      <c r="L101" s="127">
        <f t="shared" si="7"/>
        <v>3.68</v>
      </c>
      <c r="M101" s="176">
        <f t="shared" si="8"/>
        <v>3.39</v>
      </c>
      <c r="N101" s="123">
        <f>ROUND((1.0745*(E15/Q101)^0.25*A101),0)</f>
        <v>4041</v>
      </c>
      <c r="O101" s="124">
        <f t="shared" si="9"/>
        <v>6062</v>
      </c>
      <c r="P101" s="125">
        <f t="shared" si="1"/>
        <v>0.6964</v>
      </c>
      <c r="Q101" s="126">
        <f>(E58/(((E26+E33+E40)/A101)*((E58/(E70+0.0001)))+0.83*((E15/E58)^0.333)-((E26+E33+E40)/A101)))</f>
        <v>0.11142412204142768</v>
      </c>
      <c r="R101" s="127">
        <f>(((E15*(A101^3))/(12*(10^-3)*P101)))^0.25</f>
        <v>2020.4574747354486</v>
      </c>
      <c r="S101" s="127">
        <f>((E15*10^3*(A101*10^-3)^3*0.08333)/(T101+(E15*10^3*(A101*10^-3)^3*0.08333)))</f>
        <v>0.885602081614037</v>
      </c>
      <c r="T101" s="127">
        <f>(D101*E52^2*300)/(48*V101)</f>
        <v>1499.0625</v>
      </c>
      <c r="U101" s="127">
        <f>(S101*E50*E52^2*6)/(8*(A101*10^-3)^2)</f>
        <v>934.0334454523045</v>
      </c>
      <c r="V101" s="127">
        <f>((1+(0.625*(E50+A101*10^-3*E54)*E52)/D101)^-1)</f>
        <v>0.4709193245778612</v>
      </c>
      <c r="W101" s="127">
        <f>(5*E50*S101*E52^4)/(384*E15*10^3*(A101*10^-3)^3*0.08333)*10^3</f>
        <v>0.32194536131134055</v>
      </c>
      <c r="X101" s="127">
        <f>(H101*E52^3)/(48*E15*10^3*(A101*10^-3)^3*0.08333)*10^3</f>
        <v>0.21375725778112006</v>
      </c>
      <c r="Y101" s="127">
        <f t="shared" si="10"/>
        <v>0.6887330677290836</v>
      </c>
      <c r="Z101" s="20">
        <f>(1-((4*(100^3-0.1795*E56^1.5))/(2*9*R101*(100^2-0.318*E56))))^2</f>
        <v>0.9767755893738157</v>
      </c>
      <c r="AA101" s="272">
        <f>(V106+W106*Z101)^1</f>
        <v>0.9786237249278474</v>
      </c>
    </row>
    <row r="102" spans="1:27" ht="13.5">
      <c r="A102" s="257">
        <v>170</v>
      </c>
      <c r="B102" s="120">
        <f>ROUND(((0.6631*E43*A102^2*((E15/Q102)^0.5)*10^-3)*AA102),2)</f>
        <v>25.19</v>
      </c>
      <c r="C102" s="114">
        <f t="shared" si="0"/>
        <v>3.58</v>
      </c>
      <c r="D102" s="258">
        <f>ROUND((0.001/(((LN(E15*(A102^4)/(Q102*(E56/3.14159)^2))/2.302585)-0.436)*(0.6325/A102^2)))*E17,2)</f>
        <v>14.03</v>
      </c>
      <c r="E102" s="114">
        <f t="shared" si="2"/>
        <v>1.99</v>
      </c>
      <c r="F102" s="121">
        <f>ROUND(((0.66663*(0.75*(E15/30000))*(A102*6.28318*((E56/3.14159)^0.5+(0.5*A102))*0.5))*(1+((E56/3.14159)/O102^2)))*10^-3,2)</f>
        <v>34.26</v>
      </c>
      <c r="G102" s="122">
        <f t="shared" si="3"/>
        <v>4.87</v>
      </c>
      <c r="H102" s="121">
        <f>ROUND(((E17*10^3-U102)*4*(A102*10^-3)^2*D102)/(D102*S102*6*E52+4*(A102*10^-3)^2*E17*10^3),2)</f>
        <v>5.23</v>
      </c>
      <c r="I102" s="114">
        <f t="shared" si="4"/>
        <v>1.22</v>
      </c>
      <c r="J102" s="177">
        <f t="shared" si="5"/>
        <v>5.12</v>
      </c>
      <c r="K102" s="127">
        <f t="shared" si="6"/>
        <v>4.03</v>
      </c>
      <c r="L102" s="127">
        <f t="shared" si="7"/>
        <v>3.73</v>
      </c>
      <c r="M102" s="176">
        <f t="shared" si="8"/>
        <v>3.45</v>
      </c>
      <c r="N102" s="123">
        <f>ROUND((1.0745*(E15/Q102)^0.25*A102),0)</f>
        <v>4229</v>
      </c>
      <c r="O102" s="124">
        <f t="shared" si="9"/>
        <v>6344</v>
      </c>
      <c r="P102" s="125">
        <f t="shared" si="1"/>
        <v>0.6964</v>
      </c>
      <c r="Q102" s="126">
        <f>(E58/(((E26+E33+E40)/A102)*((E58/(E70+0.0001)))+0.83*((E15/E58)^0.333)-((E26+E33+E40)/A102)))</f>
        <v>0.11838812489121706</v>
      </c>
      <c r="R102" s="127">
        <f>(((E15*(A102^3))/(12*(10^-3)*P102)))^0.25</f>
        <v>2114.4451227664813</v>
      </c>
      <c r="S102" s="127">
        <f>((E15*10^3*(A102*10^-3)^3*0.08333)/(T102+(E15*10^3*(A102*10^-3)^3*0.08333)))</f>
        <v>0.8965859807992399</v>
      </c>
      <c r="T102" s="127">
        <f>(D102*E52^2*300)/(48*V102)</f>
        <v>1605.5156250000002</v>
      </c>
      <c r="U102" s="127">
        <f>(S102*E50*E52^2*6)/(8*(A102*10^-3)^2)</f>
        <v>837.6408817155527</v>
      </c>
      <c r="V102" s="127">
        <f>((1+(0.625*(E50+A102*10^-3*E54)*E52)/D102)^-1)</f>
        <v>0.4915476920381886</v>
      </c>
      <c r="W102" s="127">
        <f>(5*E50*S102*E52^4)/(384*E15*10^3*(A102*10^-3)^3*0.08333)*10^3</f>
        <v>0.27173693404771854</v>
      </c>
      <c r="X102" s="127">
        <f>(H102*E52^3)/(48*E15*10^3*(A102*10^-3)^3*0.08333)*10^3</f>
        <v>0.21134751832764365</v>
      </c>
      <c r="Y102" s="127">
        <f t="shared" si="10"/>
        <v>0.7418175338560229</v>
      </c>
      <c r="Z102" s="20">
        <f>(1-((4*(100^3-0.1795*E56^1.5))/(2*9*R102*(100^2-0.318*E5))))^2</f>
        <v>0.9795577405101104</v>
      </c>
      <c r="AA102" s="272">
        <f>(V106+W106*Z102)^1</f>
        <v>0.9811844800289773</v>
      </c>
    </row>
    <row r="103" spans="1:27" ht="13.5">
      <c r="A103" s="185">
        <v>180</v>
      </c>
      <c r="B103" s="120">
        <f>ROUND(((0.6631*E43*A103^2*((E15/Q103)^0.5)*10^-3)*AA103),2)</f>
        <v>27.43</v>
      </c>
      <c r="C103" s="114">
        <f t="shared" si="0"/>
        <v>3.58</v>
      </c>
      <c r="D103" s="184">
        <f>ROUND((0.001/(((LN(E15*(A103^4)/(Q103*(E56/3.14159)^2))/2.302585)-0.436)*(0.6325/A103^2)))*E17,2)</f>
        <v>15.59</v>
      </c>
      <c r="E103" s="114">
        <f t="shared" si="2"/>
        <v>2.03</v>
      </c>
      <c r="F103" s="121">
        <f>ROUND(((0.66663*(0.75*(E15/30000))*(A103*6.28318*((E56/3.14159)^0.5+(0.5*A103))*0.5))*(1+((E56/3.14159)/O103^2)))*10^-3,2)</f>
        <v>37.88</v>
      </c>
      <c r="G103" s="122">
        <f t="shared" si="3"/>
        <v>4.94</v>
      </c>
      <c r="H103" s="121">
        <f>ROUND(((E17*10^3-U103)*4*(A103*10^-3)^2*D103)/(D103*S103*6*E52+4*(A103*10^-3)^2*E17*10^3),2)</f>
        <v>6.1</v>
      </c>
      <c r="I103" s="114">
        <f t="shared" si="4"/>
        <v>1.23</v>
      </c>
      <c r="J103" s="177">
        <f t="shared" si="5"/>
        <v>5.16</v>
      </c>
      <c r="K103" s="127">
        <f t="shared" si="6"/>
        <v>4.06</v>
      </c>
      <c r="L103" s="183">
        <f t="shared" si="7"/>
        <v>3.78</v>
      </c>
      <c r="M103" s="176">
        <f t="shared" si="8"/>
        <v>3.51</v>
      </c>
      <c r="N103" s="123">
        <f>ROUND((1.0745*(E15/Q103)^0.25*A103),0)</f>
        <v>4414</v>
      </c>
      <c r="O103" s="124">
        <f t="shared" si="9"/>
        <v>6621</v>
      </c>
      <c r="P103" s="125">
        <f t="shared" si="1"/>
        <v>0.6964</v>
      </c>
      <c r="Q103" s="126">
        <f>(E58/(((E26+E33+E40)/A103)*((E58/(E70+0.0001)))+0.83*((E15/E58)^0.333)-((E26+E33+E40)/A103)))</f>
        <v>0.12535212717891275</v>
      </c>
      <c r="R103" s="127">
        <f>(((E15*(A103^3))/(12*(10^-3)*P103)))^0.25</f>
        <v>2207.05982790439</v>
      </c>
      <c r="S103" s="127">
        <f>((E15*10^3*(A103*10^-3)^3*0.08333)/(T103+(E15*10^3*(A103*10^-3)^3*0.08333)))</f>
        <v>0.9058943619493043</v>
      </c>
      <c r="T103" s="127">
        <f>(D103*E52^2*300)/(48*V103)</f>
        <v>1716.46875</v>
      </c>
      <c r="U103" s="127">
        <f>(S103*E50*E52^2*6)/(8*(A103*10^-3)^2)</f>
        <v>754.911968291087</v>
      </c>
      <c r="V103" s="127">
        <f>((1+(0.625*(E50+A103*10^-3*E54)*E52)/D103)^-1)</f>
        <v>0.5108962805177781</v>
      </c>
      <c r="W103" s="127">
        <f>(5*E50*S103*E52^4)/(384*E15*10^3*(A103*10^-3)^3*0.08333)*10^3</f>
        <v>0.23129355575297975</v>
      </c>
      <c r="X103" s="127">
        <f>(H103*E52^3)/(48*E15*10^3*(A103*10^-3)^3*0.08333)*10^3</f>
        <v>0.20766081187909824</v>
      </c>
      <c r="Y103" s="127">
        <f t="shared" si="10"/>
        <v>0.7942912123155869</v>
      </c>
      <c r="Z103" s="20">
        <f>(1-((4*(100^3-0.1795*E56^1.5))/(2*9*R103*(100^2-0.318*E56))))^2</f>
        <v>0.9787286055592319</v>
      </c>
      <c r="AA103" s="272">
        <f>(V106+W106*Z103)^1</f>
        <v>0.9804213253867695</v>
      </c>
    </row>
    <row r="104" spans="1:27" ht="13.5">
      <c r="A104" s="33">
        <v>190</v>
      </c>
      <c r="B104" s="120">
        <f>ROUND(((0.6631*E43*A104^2*((E15/Q104)^0.5)*10^-3)*AA104),2)</f>
        <v>29.77</v>
      </c>
      <c r="C104" s="114">
        <f t="shared" si="0"/>
        <v>3.58</v>
      </c>
      <c r="D104" s="121">
        <f>ROUND((0.001/(((LN(E15*(A104^4)/(Q104*(E56/3.14159)^2))/2.302585)-0.436)*(0.6325/A104^2)))*E17,2)</f>
        <v>17.22</v>
      </c>
      <c r="E104" s="114">
        <f t="shared" si="2"/>
        <v>2.07</v>
      </c>
      <c r="F104" s="121">
        <f>ROUND(((0.66663*(0.75*(E15/30000))*(A104*6.28318*((E56/3.14159)^0.5+(0.5*A104))*0.5))*(1+((E56/3.14159)/O104^2)))*10^-3,2)</f>
        <v>41.67</v>
      </c>
      <c r="G104" s="122">
        <f t="shared" si="3"/>
        <v>5.01</v>
      </c>
      <c r="H104" s="121">
        <f>ROUND(((E17*10^3-U104)*4*(A104*10^-3)^2*D104)/(D104*S104*6*E52+4*(A104*10^-3)^2*E17*10^3),2)</f>
        <v>7.01</v>
      </c>
      <c r="I104" s="114">
        <f t="shared" si="4"/>
        <v>1.24</v>
      </c>
      <c r="J104" s="177">
        <f t="shared" si="5"/>
        <v>5.19</v>
      </c>
      <c r="K104" s="127">
        <f t="shared" si="6"/>
        <v>4.1</v>
      </c>
      <c r="L104" s="127">
        <f t="shared" si="7"/>
        <v>3.82</v>
      </c>
      <c r="M104" s="176">
        <f t="shared" si="8"/>
        <v>3.56</v>
      </c>
      <c r="N104" s="123">
        <f>ROUND((1.0745*(E15/Q104)^0.25*A104),0)</f>
        <v>4596</v>
      </c>
      <c r="O104" s="124">
        <f>ROUND((1.5*N104),0)</f>
        <v>6894</v>
      </c>
      <c r="P104" s="125">
        <f t="shared" si="1"/>
        <v>0.6964</v>
      </c>
      <c r="Q104" s="126">
        <f>(E58/(((E26+E33+E40)/A104)*((E58/(E70+0.0001)))+0.83*((E15/E58)^0.333)-((E26+E33+E40)/A104)))</f>
        <v>0.1323161289045148</v>
      </c>
      <c r="R104" s="127">
        <f>(((E15*(A104^3))/(12*(10^-3)*P104)))^0.25</f>
        <v>2298.396374105443</v>
      </c>
      <c r="S104" s="127">
        <f>((E15*10^3*(A104*10^-3)^3*0.08333)/(T104+(E15*10^3*(A104*10^-3)^3*0.08333)))</f>
        <v>0.9138768057138527</v>
      </c>
      <c r="T104" s="127">
        <f>(D104*E52^2*300)/(48*V104)</f>
        <v>1831.359375</v>
      </c>
      <c r="U104" s="127">
        <f>(S104*E50*E52^2*6)/(8*(A104*10^-3)^2)</f>
        <v>683.5089682624383</v>
      </c>
      <c r="V104" s="127">
        <f>((1+(0.625*(E50+A104*10^-3*E54)*E52)/D104)^-1)</f>
        <v>0.5289103893112186</v>
      </c>
      <c r="W104" s="127">
        <f>(5*E50*S104*E52^4)/(384*E15*10^3*(A104*10^-3)^3*0.08333)*10^3</f>
        <v>0.19839482673611464</v>
      </c>
      <c r="X104" s="127">
        <f>(H104*E52^3)/(48*E15*10^3*(A104*10^-3)^3*0.08333)*10^3</f>
        <v>0.20290812747404022</v>
      </c>
      <c r="Y104" s="127">
        <f t="shared" si="10"/>
        <v>0.8426655052264809</v>
      </c>
      <c r="Z104" s="20">
        <f>(1-((4*(100^3-0.1795*E56^1.5))/(2*9*R104*(100^2-0.318*E56))))^2</f>
        <v>0.9795695516839084</v>
      </c>
      <c r="AA104" s="272">
        <f>(V106+W106*Z104)^1</f>
        <v>0.9811953513016264</v>
      </c>
    </row>
    <row r="105" spans="1:27" ht="14.25" thickBot="1">
      <c r="A105" s="186">
        <v>200</v>
      </c>
      <c r="B105" s="120">
        <f>ROUND(((0.6631*E43*A105^2*((E15/Q105)^0.5)*10^-3)*AA105),2)</f>
        <v>32.17</v>
      </c>
      <c r="C105" s="114">
        <f t="shared" si="0"/>
        <v>3.58</v>
      </c>
      <c r="D105" s="121">
        <f>ROUND((0.001/(((LN(E15*(A105^4)/(Q105*(E56/3.14159)^2))/2.302585)-0.436)*(0.6325/A105^2)))*E17,2)</f>
        <v>18.93</v>
      </c>
      <c r="E105" s="114">
        <f>ROUND((D105/B105)*C105,2)</f>
        <v>2.11</v>
      </c>
      <c r="F105" s="121">
        <f>ROUND(((0.66663*(0.75*(E15/30000))*(A105*6.28318*((E56/3.14159)^0.5+(0.5*A105))*0.5))*(1+((E56/3.14159)/O105^2)))*10^-3,2)</f>
        <v>45.65</v>
      </c>
      <c r="G105" s="122">
        <f t="shared" si="3"/>
        <v>5.08</v>
      </c>
      <c r="H105" s="188">
        <f>ROUND(((E17*10^3-U105)*4*(A105*10^-3)^2*D105)/(D105*S105*6*E52+4*(A105*10^-3)^2*E17*10^3),2)</f>
        <v>7.97</v>
      </c>
      <c r="I105" s="114">
        <f>ROUND((W105+X105+Y105),2)</f>
        <v>1.26</v>
      </c>
      <c r="J105" s="177">
        <f t="shared" si="5"/>
        <v>5.22</v>
      </c>
      <c r="K105" s="127">
        <f t="shared" si="6"/>
        <v>4.13</v>
      </c>
      <c r="L105" s="187">
        <f t="shared" si="7"/>
        <v>3.87</v>
      </c>
      <c r="M105" s="176">
        <f t="shared" si="8"/>
        <v>3.61</v>
      </c>
      <c r="N105" s="136">
        <f>ROUND((1.0745*(E15/Q105)^0.25*A105),0)</f>
        <v>4777</v>
      </c>
      <c r="O105" s="137">
        <f>ROUND((1.5*N105),0)</f>
        <v>7166</v>
      </c>
      <c r="P105" s="125">
        <f t="shared" si="1"/>
        <v>0.6964</v>
      </c>
      <c r="Q105" s="126">
        <f>(E58/(((E26+E33+E40)/A105)*((E58/(E70+0.0001)))+0.83*((E15/E58)^0.333)-((E26+E33+E40)/A105)))</f>
        <v>0.13928013006802334</v>
      </c>
      <c r="R105" s="138">
        <f>(((E15*(A105^3))/(12*(10^-3)*P105)))^0.25</f>
        <v>2388.5383788484964</v>
      </c>
      <c r="S105" s="138">
        <f>((E15*10^3*(A105*10^-3)^3*0.08333)/(T105+(E15*10^3*(A105*10^-3)^3*0.08333)))</f>
        <v>0.9207544042595803</v>
      </c>
      <c r="T105" s="138">
        <f>(D105*E52^2*300)/(48*V105)</f>
        <v>1950.75</v>
      </c>
      <c r="U105" s="127">
        <f>(S105*E50*E52^2*6)/(8*(A105*10^-3)^2)</f>
        <v>621.5092228752167</v>
      </c>
      <c r="V105" s="138">
        <f>((1+(0.625*(E50+A105*10^-3*E54)*E52)/D105)^-1)</f>
        <v>0.5458477508650519</v>
      </c>
      <c r="W105" s="138">
        <f>(5*E50*S105*E52^4)/(384*E15*10^3*(A105*10^-3)^3*0.08333)*10^3</f>
        <v>0.17137888352166897</v>
      </c>
      <c r="X105" s="138">
        <f>(H105*E52^3)/(48*E15*10^3*(A105*10^-3)^3*0.08333)*10^3</f>
        <v>0.19779283818411555</v>
      </c>
      <c r="Y105" s="138">
        <f>(H105/D105)*E105</f>
        <v>0.8883623877443212</v>
      </c>
      <c r="Z105" s="267">
        <f>(1-((4*(100^3-0.1795*E56^1.5))/(2*9*R105*(100^2-0.318*E56))))^2</f>
        <v>0.9803367558143448</v>
      </c>
      <c r="AA105" s="274">
        <f>(V106+W106*Z105)^1</f>
        <v>0.9819015034099692</v>
      </c>
    </row>
    <row r="106" spans="1:27" ht="14.25" thickBot="1" thickTop="1">
      <c r="A106" s="55"/>
      <c r="B106" s="54"/>
      <c r="C106" s="54"/>
      <c r="D106" s="54"/>
      <c r="E106" s="54"/>
      <c r="F106" s="54"/>
      <c r="G106" s="22"/>
      <c r="H106" s="197" t="s">
        <v>142</v>
      </c>
      <c r="I106" s="197"/>
      <c r="J106" s="54"/>
      <c r="K106" s="54"/>
      <c r="L106" s="54"/>
      <c r="M106" s="54"/>
      <c r="N106" s="54"/>
      <c r="O106" s="10"/>
      <c r="Q106" s="147"/>
      <c r="R106" s="147"/>
      <c r="U106" s="261">
        <f>(V106+W106*X106)^1</f>
        <v>0.9340048689707925</v>
      </c>
      <c r="V106" s="263">
        <f>(E56/31416)</f>
        <v>0.0795772854596384</v>
      </c>
      <c r="W106" s="264">
        <f>((31416-E56)/31416)</f>
        <v>0.9204227145403616</v>
      </c>
      <c r="X106" s="262">
        <f>(1-((4*(100^3-0.1795*E56^1.5))/(2*9*Y106*(100^2-0.318*E56))))^2</f>
        <v>0.9282991065011211</v>
      </c>
      <c r="Y106" s="262">
        <f>((E15*A80^3)/(12*P80*10^-3))^0.25</f>
        <v>646.2651846393599</v>
      </c>
      <c r="AA106" s="11"/>
    </row>
    <row r="107" spans="1:27" ht="13.5" thickTop="1">
      <c r="A107" s="158"/>
      <c r="B107" s="10"/>
      <c r="C107" s="10"/>
      <c r="D107" s="10"/>
      <c r="E107" s="45"/>
      <c r="H107" s="198" t="s">
        <v>140</v>
      </c>
      <c r="I107" s="198"/>
      <c r="Q107" s="11"/>
      <c r="R107" s="11"/>
      <c r="S107" s="47"/>
      <c r="T107" s="13" t="s">
        <v>175</v>
      </c>
      <c r="U107" s="149"/>
      <c r="V107" s="157" t="s">
        <v>176</v>
      </c>
      <c r="W107" s="149"/>
      <c r="X107" s="149"/>
      <c r="Y107" s="149"/>
      <c r="AA107" s="11"/>
    </row>
    <row r="108" spans="1:27" ht="13.5">
      <c r="A108" s="159" t="s">
        <v>138</v>
      </c>
      <c r="B108" s="157"/>
      <c r="C108" s="157"/>
      <c r="D108" s="157"/>
      <c r="E108" s="160"/>
      <c r="F108" s="11"/>
      <c r="AA108" s="11"/>
    </row>
    <row r="109" spans="1:27" ht="13.5">
      <c r="A109" s="161"/>
      <c r="B109" s="88"/>
      <c r="C109" s="11"/>
      <c r="D109" s="11"/>
      <c r="E109" s="32"/>
      <c r="F109" s="11"/>
      <c r="V109" s="20"/>
      <c r="W109" s="20"/>
      <c r="AA109" s="11"/>
    </row>
    <row r="110" spans="1:27" ht="13.5">
      <c r="A110" s="162" t="s">
        <v>92</v>
      </c>
      <c r="B110" s="28"/>
      <c r="C110" s="154" t="s">
        <v>108</v>
      </c>
      <c r="D110" s="154" t="s">
        <v>93</v>
      </c>
      <c r="E110" s="32"/>
      <c r="G110" s="167" t="s">
        <v>139</v>
      </c>
      <c r="Q110" s="11"/>
      <c r="AA110" s="11"/>
    </row>
    <row r="111" spans="1:27" ht="13.5">
      <c r="A111" s="163" t="s">
        <v>97</v>
      </c>
      <c r="B111" s="14"/>
      <c r="C111" s="14" t="s">
        <v>110</v>
      </c>
      <c r="D111" s="14" t="s">
        <v>94</v>
      </c>
      <c r="E111" s="32"/>
      <c r="G111" s="11"/>
      <c r="J111" s="88"/>
      <c r="K111" s="11"/>
      <c r="L111" s="11"/>
      <c r="M111" s="11"/>
      <c r="N111" s="11"/>
      <c r="O111" s="11"/>
      <c r="Q111" s="11"/>
      <c r="U111" s="11"/>
      <c r="AA111" s="11"/>
    </row>
    <row r="112" spans="1:27" ht="13.5">
      <c r="A112" s="164"/>
      <c r="B112" s="14"/>
      <c r="C112" s="14"/>
      <c r="D112" s="14"/>
      <c r="E112" s="32"/>
      <c r="F112" s="14"/>
      <c r="G112" s="189"/>
      <c r="H112" s="3" t="s">
        <v>171</v>
      </c>
      <c r="J112" s="28"/>
      <c r="K112" s="28"/>
      <c r="L112" s="28"/>
      <c r="M112" s="28"/>
      <c r="N112" s="89"/>
      <c r="O112" s="90"/>
      <c r="Q112" s="11"/>
      <c r="AA112" s="11"/>
    </row>
    <row r="113" spans="1:6" ht="12.75">
      <c r="A113" s="165" t="s">
        <v>103</v>
      </c>
      <c r="B113" s="14"/>
      <c r="C113" s="14" t="s">
        <v>119</v>
      </c>
      <c r="D113" s="14" t="s">
        <v>115</v>
      </c>
      <c r="E113" s="32"/>
      <c r="F113" s="14"/>
    </row>
    <row r="114" spans="1:17" ht="13.5">
      <c r="A114" s="165"/>
      <c r="B114" s="14"/>
      <c r="C114" s="14"/>
      <c r="D114" s="14"/>
      <c r="E114" s="32"/>
      <c r="F114" s="14"/>
      <c r="G114" s="190"/>
      <c r="H114" s="3" t="s">
        <v>150</v>
      </c>
      <c r="J114" s="11"/>
      <c r="K114" s="14"/>
      <c r="L114" s="11"/>
      <c r="M114" s="14"/>
      <c r="N114" s="14"/>
      <c r="O114" s="14"/>
      <c r="Q114" s="11"/>
    </row>
    <row r="115" spans="1:27" ht="13.5">
      <c r="A115" s="165" t="s">
        <v>104</v>
      </c>
      <c r="B115" s="14"/>
      <c r="C115" s="14" t="s">
        <v>120</v>
      </c>
      <c r="D115" s="14" t="s">
        <v>116</v>
      </c>
      <c r="E115" s="32"/>
      <c r="F115" s="14"/>
      <c r="H115" t="s">
        <v>151</v>
      </c>
      <c r="AA115" s="11"/>
    </row>
    <row r="116" spans="1:27" ht="12.75">
      <c r="A116" s="165"/>
      <c r="B116" s="14"/>
      <c r="C116" s="14"/>
      <c r="D116" s="14"/>
      <c r="E116" s="32"/>
      <c r="F116" s="14"/>
      <c r="AA116" s="11"/>
    </row>
    <row r="117" spans="1:27" ht="13.5">
      <c r="A117" s="165" t="s">
        <v>105</v>
      </c>
      <c r="B117" s="14"/>
      <c r="C117" s="14" t="s">
        <v>121</v>
      </c>
      <c r="D117" s="14" t="s">
        <v>117</v>
      </c>
      <c r="E117" s="32"/>
      <c r="F117" s="110"/>
      <c r="G117" s="191"/>
      <c r="H117" s="3" t="s">
        <v>167</v>
      </c>
      <c r="J117" s="14"/>
      <c r="K117" s="14"/>
      <c r="L117" s="14"/>
      <c r="M117" s="14"/>
      <c r="N117" s="14"/>
      <c r="O117" s="14"/>
      <c r="Q117" s="11"/>
      <c r="AA117" s="11"/>
    </row>
    <row r="118" spans="1:27" ht="12.75">
      <c r="A118" s="165"/>
      <c r="B118" s="14"/>
      <c r="C118" s="14"/>
      <c r="D118" s="14"/>
      <c r="E118" s="32"/>
      <c r="F118" s="14"/>
      <c r="AA118" s="11"/>
    </row>
    <row r="119" spans="1:27" ht="13.5">
      <c r="A119" s="165" t="s">
        <v>106</v>
      </c>
      <c r="B119" s="14"/>
      <c r="C119" s="14" t="s">
        <v>120</v>
      </c>
      <c r="D119" s="14" t="s">
        <v>118</v>
      </c>
      <c r="E119" s="32"/>
      <c r="F119" s="14"/>
      <c r="G119" s="192"/>
      <c r="H119" s="26" t="s">
        <v>168</v>
      </c>
      <c r="J119" s="14"/>
      <c r="K119" s="14"/>
      <c r="L119" s="14"/>
      <c r="M119" s="14"/>
      <c r="N119" s="11"/>
      <c r="O119" s="11"/>
      <c r="Q119" s="11"/>
      <c r="AA119" s="11"/>
    </row>
    <row r="120" spans="1:27" ht="13.5">
      <c r="A120" s="165"/>
      <c r="B120" s="110"/>
      <c r="C120" s="110"/>
      <c r="D120" s="110"/>
      <c r="E120" s="32"/>
      <c r="F120" s="110"/>
      <c r="G120" s="14"/>
      <c r="H120" s="3" t="s">
        <v>169</v>
      </c>
      <c r="Q120" s="11"/>
      <c r="AA120" s="11"/>
    </row>
    <row r="121" spans="1:27" ht="12.75">
      <c r="A121" s="165" t="s">
        <v>107</v>
      </c>
      <c r="B121" s="11"/>
      <c r="C121" s="14" t="s">
        <v>122</v>
      </c>
      <c r="D121" s="14" t="s">
        <v>111</v>
      </c>
      <c r="E121" s="32"/>
      <c r="F121" s="110"/>
      <c r="G121" s="110"/>
      <c r="H121" s="152"/>
      <c r="J121" s="14"/>
      <c r="K121" s="14"/>
      <c r="L121" s="14"/>
      <c r="M121" s="14"/>
      <c r="N121" s="14"/>
      <c r="O121" s="14"/>
      <c r="Q121" s="11"/>
      <c r="AA121" s="11"/>
    </row>
    <row r="122" spans="1:27" ht="12.75">
      <c r="A122" s="165"/>
      <c r="B122" s="11"/>
      <c r="C122" s="11"/>
      <c r="D122" s="11"/>
      <c r="E122" s="32"/>
      <c r="F122" s="110"/>
      <c r="G122" s="208" t="s">
        <v>127</v>
      </c>
      <c r="H122" s="152"/>
      <c r="J122" s="14"/>
      <c r="K122" s="14"/>
      <c r="L122" s="14"/>
      <c r="M122" s="14"/>
      <c r="N122" s="14"/>
      <c r="O122" s="14"/>
      <c r="Q122" s="11"/>
      <c r="AA122" s="11"/>
    </row>
    <row r="123" spans="1:27" ht="12.75">
      <c r="A123" s="165" t="s">
        <v>144</v>
      </c>
      <c r="B123" s="11"/>
      <c r="C123" s="156" t="s">
        <v>145</v>
      </c>
      <c r="D123" s="14" t="s">
        <v>146</v>
      </c>
      <c r="E123" s="32"/>
      <c r="F123" s="110"/>
      <c r="G123" s="110"/>
      <c r="H123" s="152"/>
      <c r="J123" s="14"/>
      <c r="K123" s="14"/>
      <c r="L123" s="14"/>
      <c r="M123" s="14"/>
      <c r="N123" s="14"/>
      <c r="O123" s="14"/>
      <c r="Q123" s="11"/>
      <c r="AA123" s="11"/>
    </row>
    <row r="124" spans="1:27" ht="12.75">
      <c r="A124" s="165"/>
      <c r="B124" s="11"/>
      <c r="C124" s="11"/>
      <c r="D124" s="14"/>
      <c r="E124" s="32"/>
      <c r="F124" s="110"/>
      <c r="G124" s="275" t="s">
        <v>178</v>
      </c>
      <c r="H124" s="152"/>
      <c r="J124" s="14"/>
      <c r="K124" s="14"/>
      <c r="L124" s="14"/>
      <c r="M124" s="14"/>
      <c r="N124" s="14"/>
      <c r="O124" s="14"/>
      <c r="Q124" s="11"/>
      <c r="AA124" s="11"/>
    </row>
    <row r="125" spans="1:27" ht="12.75">
      <c r="A125" s="165"/>
      <c r="B125" s="11"/>
      <c r="C125" s="11"/>
      <c r="D125" s="14"/>
      <c r="E125" s="32"/>
      <c r="F125" s="110"/>
      <c r="G125" s="110"/>
      <c r="H125" s="152"/>
      <c r="J125" s="14"/>
      <c r="K125" s="14"/>
      <c r="L125" s="14"/>
      <c r="M125" s="14"/>
      <c r="N125" s="14"/>
      <c r="O125" s="14"/>
      <c r="Q125" s="11"/>
      <c r="AA125" s="11"/>
    </row>
    <row r="126" spans="1:27" ht="13.5">
      <c r="A126" s="162" t="s">
        <v>95</v>
      </c>
      <c r="B126" s="110"/>
      <c r="C126" s="28" t="s">
        <v>109</v>
      </c>
      <c r="D126" s="153" t="s">
        <v>96</v>
      </c>
      <c r="E126" s="32"/>
      <c r="F126" s="110"/>
      <c r="G126" s="110"/>
      <c r="H126" s="152"/>
      <c r="J126" s="14"/>
      <c r="K126" s="14"/>
      <c r="L126" s="14"/>
      <c r="M126" s="14"/>
      <c r="N126" s="14"/>
      <c r="O126" s="14"/>
      <c r="Q126" s="11"/>
      <c r="AA126" s="11"/>
    </row>
    <row r="127" spans="1:27" ht="12.75">
      <c r="A127" s="165" t="s">
        <v>97</v>
      </c>
      <c r="B127" s="110"/>
      <c r="C127" s="14" t="s">
        <v>113</v>
      </c>
      <c r="D127" s="14" t="s">
        <v>114</v>
      </c>
      <c r="E127" s="32"/>
      <c r="F127" s="110"/>
      <c r="G127" s="110"/>
      <c r="H127" s="152"/>
      <c r="J127" s="14"/>
      <c r="K127" s="14"/>
      <c r="L127" s="14"/>
      <c r="M127" s="14"/>
      <c r="N127" s="14"/>
      <c r="O127" s="14"/>
      <c r="Q127" s="11"/>
      <c r="AA127" s="11"/>
    </row>
    <row r="128" spans="1:27" ht="12.75">
      <c r="A128" s="165"/>
      <c r="B128" s="110"/>
      <c r="C128" s="110"/>
      <c r="D128" s="110"/>
      <c r="E128" s="32"/>
      <c r="F128" s="23"/>
      <c r="G128" s="110"/>
      <c r="H128" s="152"/>
      <c r="J128" s="14"/>
      <c r="K128" s="14"/>
      <c r="L128" s="14"/>
      <c r="M128" s="14"/>
      <c r="N128" s="14"/>
      <c r="O128" s="14"/>
      <c r="Q128" s="11"/>
      <c r="AA128" s="11"/>
    </row>
    <row r="129" spans="1:27" ht="12.75">
      <c r="A129" s="165" t="s">
        <v>98</v>
      </c>
      <c r="B129" s="110"/>
      <c r="C129" s="14">
        <v>0.045</v>
      </c>
      <c r="D129" s="14">
        <v>0.001</v>
      </c>
      <c r="E129" s="32"/>
      <c r="F129" s="110"/>
      <c r="G129" s="110"/>
      <c r="H129" s="152"/>
      <c r="J129" s="14"/>
      <c r="K129" s="14"/>
      <c r="L129" s="14"/>
      <c r="M129" s="14"/>
      <c r="N129" s="14"/>
      <c r="O129" s="14"/>
      <c r="Q129" s="11"/>
      <c r="AA129" s="11"/>
    </row>
    <row r="130" spans="1:27" ht="12.75">
      <c r="A130" s="165"/>
      <c r="B130" s="110"/>
      <c r="C130" s="14"/>
      <c r="D130" s="14"/>
      <c r="E130" s="32"/>
      <c r="F130" s="110"/>
      <c r="G130" s="110"/>
      <c r="H130" s="152"/>
      <c r="J130" s="14"/>
      <c r="K130" s="14"/>
      <c r="L130" s="14"/>
      <c r="M130" s="14"/>
      <c r="N130" s="14"/>
      <c r="O130" s="14"/>
      <c r="Q130" s="11"/>
      <c r="AA130" s="11"/>
    </row>
    <row r="131" spans="1:27" ht="12.75">
      <c r="A131" s="165" t="s">
        <v>112</v>
      </c>
      <c r="B131" s="110"/>
      <c r="C131" s="14" t="s">
        <v>161</v>
      </c>
      <c r="D131" s="14">
        <v>0.0025</v>
      </c>
      <c r="E131" s="255" t="s">
        <v>162</v>
      </c>
      <c r="F131" s="110"/>
      <c r="G131" s="110"/>
      <c r="H131" s="152"/>
      <c r="J131" s="14"/>
      <c r="K131" s="14"/>
      <c r="L131" s="14"/>
      <c r="M131" s="14"/>
      <c r="N131" s="14"/>
      <c r="O131" s="14"/>
      <c r="Q131" s="11"/>
      <c r="AA131" s="11"/>
    </row>
    <row r="132" spans="1:27" ht="12.75">
      <c r="A132" s="165"/>
      <c r="B132" s="110"/>
      <c r="C132" s="14"/>
      <c r="D132" s="14"/>
      <c r="E132" s="32"/>
      <c r="F132" s="110"/>
      <c r="G132" s="110"/>
      <c r="H132" s="152"/>
      <c r="J132" s="14"/>
      <c r="K132" s="14"/>
      <c r="L132" s="14"/>
      <c r="M132" s="14"/>
      <c r="N132" s="14"/>
      <c r="O132" s="14"/>
      <c r="Q132" s="11"/>
      <c r="AA132" s="11"/>
    </row>
    <row r="133" spans="1:27" ht="12.75">
      <c r="A133" s="165" t="s">
        <v>137</v>
      </c>
      <c r="B133" s="110"/>
      <c r="C133" s="14" t="s">
        <v>163</v>
      </c>
      <c r="D133" s="14">
        <v>0.0114</v>
      </c>
      <c r="E133" s="255" t="s">
        <v>162</v>
      </c>
      <c r="F133" s="110"/>
      <c r="G133" s="110"/>
      <c r="H133" s="152"/>
      <c r="J133" s="14"/>
      <c r="K133" s="14"/>
      <c r="L133" s="14"/>
      <c r="M133" s="14"/>
      <c r="N133" s="14"/>
      <c r="O133" s="14"/>
      <c r="Q133" s="11"/>
      <c r="AA133" s="11"/>
    </row>
    <row r="134" spans="1:27" ht="12.75">
      <c r="A134" s="165"/>
      <c r="B134" s="110"/>
      <c r="C134" s="14"/>
      <c r="D134" s="14"/>
      <c r="E134" s="255" t="s">
        <v>164</v>
      </c>
      <c r="F134" s="110"/>
      <c r="G134" s="110"/>
      <c r="H134" s="152"/>
      <c r="J134" s="14"/>
      <c r="K134" s="14"/>
      <c r="L134" s="14"/>
      <c r="M134" s="14"/>
      <c r="N134" s="14"/>
      <c r="O134" s="14"/>
      <c r="Q134" s="11"/>
      <c r="AA134" s="11"/>
    </row>
    <row r="135" spans="1:27" ht="12.75">
      <c r="A135" s="165" t="s">
        <v>99</v>
      </c>
      <c r="B135" s="110"/>
      <c r="C135" s="14" t="s">
        <v>166</v>
      </c>
      <c r="D135" s="14" t="s">
        <v>126</v>
      </c>
      <c r="E135" s="32"/>
      <c r="F135" s="110"/>
      <c r="G135" s="110"/>
      <c r="H135" s="152"/>
      <c r="J135" s="14"/>
      <c r="K135" s="14"/>
      <c r="L135" s="14"/>
      <c r="M135" s="14"/>
      <c r="N135" s="14"/>
      <c r="O135" s="14"/>
      <c r="Q135" s="11"/>
      <c r="AA135" s="11"/>
    </row>
    <row r="136" spans="1:27" ht="12.75">
      <c r="A136" s="165"/>
      <c r="B136" s="110"/>
      <c r="C136" s="14"/>
      <c r="D136" s="14"/>
      <c r="E136" s="32"/>
      <c r="F136" s="110"/>
      <c r="G136" s="110"/>
      <c r="H136" s="152"/>
      <c r="J136" s="14"/>
      <c r="K136" s="14"/>
      <c r="L136" s="14"/>
      <c r="M136" s="14"/>
      <c r="N136" s="14"/>
      <c r="O136" s="14"/>
      <c r="Q136" s="11"/>
      <c r="AA136" s="11"/>
    </row>
    <row r="137" spans="1:27" ht="12.75">
      <c r="A137" s="165" t="s">
        <v>100</v>
      </c>
      <c r="B137" s="110"/>
      <c r="C137" s="155" t="s">
        <v>123</v>
      </c>
      <c r="D137" s="14">
        <v>0.18</v>
      </c>
      <c r="E137" s="32"/>
      <c r="F137" s="14"/>
      <c r="G137" s="14"/>
      <c r="J137" s="14"/>
      <c r="K137" s="14"/>
      <c r="L137" s="14"/>
      <c r="M137" s="14"/>
      <c r="N137" s="11"/>
      <c r="O137" s="14"/>
      <c r="Q137" s="11"/>
      <c r="AA137" s="11"/>
    </row>
    <row r="138" spans="1:27" ht="12.75">
      <c r="A138" s="165"/>
      <c r="B138" s="110"/>
      <c r="C138" s="14"/>
      <c r="D138" s="14"/>
      <c r="E138" s="15"/>
      <c r="F138" s="11"/>
      <c r="G138" s="11"/>
      <c r="J138" s="14"/>
      <c r="K138" s="14"/>
      <c r="L138" s="14"/>
      <c r="M138" s="14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>
      <c r="A139" s="165" t="s">
        <v>101</v>
      </c>
      <c r="B139" s="110"/>
      <c r="C139" s="156" t="s">
        <v>125</v>
      </c>
      <c r="D139" s="14">
        <v>0.25</v>
      </c>
      <c r="E139" s="32"/>
      <c r="F139" s="11"/>
      <c r="G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3.5">
      <c r="A140" s="165"/>
      <c r="B140" s="110"/>
      <c r="C140" s="14"/>
      <c r="D140" s="14"/>
      <c r="E140" s="32"/>
      <c r="F140" s="11"/>
      <c r="G140" s="11"/>
      <c r="I140" s="21"/>
      <c r="J140" s="28"/>
      <c r="K140" s="28"/>
      <c r="L140" s="28"/>
      <c r="M140" s="28"/>
      <c r="N140" s="28"/>
      <c r="O140" s="100"/>
      <c r="P140" s="101"/>
      <c r="Q140" s="21"/>
      <c r="R140" s="21"/>
      <c r="S140" s="28"/>
      <c r="T140" s="21"/>
      <c r="U140" s="21"/>
      <c r="V140" s="21"/>
      <c r="W140" s="21"/>
      <c r="X140" s="21"/>
      <c r="Y140" s="21"/>
      <c r="Z140" s="21"/>
      <c r="AA140" s="11"/>
    </row>
    <row r="141" spans="1:27" ht="12.75">
      <c r="A141" s="165" t="s">
        <v>102</v>
      </c>
      <c r="B141" s="110"/>
      <c r="C141" s="14" t="s">
        <v>124</v>
      </c>
      <c r="D141" s="14">
        <v>0.39</v>
      </c>
      <c r="E141" s="15"/>
      <c r="F141" s="11"/>
      <c r="G141" s="11"/>
      <c r="I141" s="46"/>
      <c r="J141" s="21"/>
      <c r="K141" s="21"/>
      <c r="L141" s="21"/>
      <c r="M141" s="20"/>
      <c r="N141" s="20"/>
      <c r="O141" s="99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11"/>
    </row>
    <row r="142" spans="1:27" ht="13.5" thickBot="1">
      <c r="A142" s="254" t="s">
        <v>165</v>
      </c>
      <c r="B142" s="252"/>
      <c r="C142" s="256" t="s">
        <v>158</v>
      </c>
      <c r="D142" s="252"/>
      <c r="E142" s="253"/>
      <c r="F142" s="11"/>
      <c r="I142" s="46"/>
      <c r="J142" s="21"/>
      <c r="K142" s="21"/>
      <c r="L142" s="21"/>
      <c r="M142" s="20"/>
      <c r="N142" s="20"/>
      <c r="O142" s="20"/>
      <c r="P142" s="20"/>
      <c r="Q142" s="20"/>
      <c r="R142" s="90"/>
      <c r="S142" s="90"/>
      <c r="T142" s="21"/>
      <c r="U142" s="98"/>
      <c r="V142" s="20"/>
      <c r="W142" s="48"/>
      <c r="X142" s="48"/>
      <c r="Y142" s="21"/>
      <c r="Z142" s="21"/>
      <c r="AA142" s="11"/>
    </row>
    <row r="143" spans="2:27" ht="13.5" thickTop="1">
      <c r="B143" s="14"/>
      <c r="C143" s="22"/>
      <c r="D143" s="11"/>
      <c r="E143" s="11"/>
      <c r="F143" s="11"/>
      <c r="G143" s="11"/>
      <c r="I143" s="46"/>
      <c r="J143" s="21"/>
      <c r="K143" s="21"/>
      <c r="L143" s="21"/>
      <c r="M143" s="90"/>
      <c r="N143" s="90"/>
      <c r="O143" s="90"/>
      <c r="P143" s="90"/>
      <c r="Q143" s="90"/>
      <c r="R143" s="21"/>
      <c r="S143" s="21"/>
      <c r="T143" s="21"/>
      <c r="U143" s="21"/>
      <c r="V143" s="99"/>
      <c r="W143" s="21"/>
      <c r="X143" s="21"/>
      <c r="Y143" s="21"/>
      <c r="Z143" s="21"/>
      <c r="AA143" s="11"/>
    </row>
    <row r="144" spans="2:27" ht="12.75">
      <c r="B144" s="14"/>
      <c r="C144" s="14"/>
      <c r="D144" s="11"/>
      <c r="E144" s="11"/>
      <c r="F144" s="11"/>
      <c r="G144" s="11"/>
      <c r="I144" s="46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11"/>
    </row>
    <row r="145" spans="2:27" ht="12.75">
      <c r="B145" s="14"/>
      <c r="C145" s="14"/>
      <c r="D145" s="11"/>
      <c r="E145" s="11"/>
      <c r="F145" s="11"/>
      <c r="G145" s="11"/>
      <c r="I145" s="46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1"/>
    </row>
    <row r="146" spans="2:27" ht="12.75">
      <c r="B146" s="14"/>
      <c r="C146" s="110"/>
      <c r="D146" s="11"/>
      <c r="E146" s="11"/>
      <c r="F146" s="11"/>
      <c r="G146" s="11"/>
      <c r="I146" s="46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1"/>
    </row>
    <row r="147" spans="1:27" ht="13.5">
      <c r="A147" s="108"/>
      <c r="B147" s="14"/>
      <c r="C147" s="14"/>
      <c r="D147" s="11"/>
      <c r="E147" s="11"/>
      <c r="F147" s="11"/>
      <c r="G147" s="11"/>
      <c r="I147" s="46"/>
      <c r="J147" s="102"/>
      <c r="K147" s="103"/>
      <c r="L147" s="103"/>
      <c r="M147" s="103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1"/>
    </row>
    <row r="148" spans="2:27" ht="13.5">
      <c r="B148" s="14"/>
      <c r="C148" s="14"/>
      <c r="D148" s="11"/>
      <c r="E148" s="11"/>
      <c r="F148" s="11"/>
      <c r="G148" s="11"/>
      <c r="I148" s="46"/>
      <c r="J148" s="28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1"/>
    </row>
    <row r="149" spans="2:27" ht="12.75">
      <c r="B149" s="14"/>
      <c r="C149" s="14"/>
      <c r="D149" s="11"/>
      <c r="E149" s="11"/>
      <c r="F149" s="11"/>
      <c r="G149" s="11"/>
      <c r="I149" s="46"/>
      <c r="J149" s="104"/>
      <c r="K149" s="104"/>
      <c r="L149" s="104"/>
      <c r="M149" s="10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1"/>
    </row>
    <row r="150" spans="2:27" ht="12.75">
      <c r="B150" s="14"/>
      <c r="C150" s="14"/>
      <c r="D150" s="11"/>
      <c r="E150" s="11"/>
      <c r="F150" s="11"/>
      <c r="G150" s="11"/>
      <c r="I150" s="46"/>
      <c r="J150" s="21"/>
      <c r="K150" s="21"/>
      <c r="L150" s="90"/>
      <c r="M150" s="90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1"/>
    </row>
    <row r="151" spans="2:27" ht="12.75">
      <c r="B151" s="14"/>
      <c r="C151" s="14"/>
      <c r="D151" s="11"/>
      <c r="E151" s="11"/>
      <c r="F151" s="11"/>
      <c r="G151" s="11"/>
      <c r="I151" s="46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1"/>
    </row>
    <row r="152" spans="2:27" ht="12.75">
      <c r="B152" s="14"/>
      <c r="C152" s="14"/>
      <c r="D152" s="11"/>
      <c r="E152" s="11"/>
      <c r="F152" s="11"/>
      <c r="G152" s="11"/>
      <c r="I152" s="46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1"/>
    </row>
    <row r="153" spans="2:26" ht="12.75">
      <c r="B153" s="14"/>
      <c r="C153" s="14"/>
      <c r="D153" s="11"/>
      <c r="E153" s="11"/>
      <c r="F153" s="11"/>
      <c r="G153" s="11"/>
      <c r="I153" s="46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2:26" ht="12.75">
      <c r="B154" s="14"/>
      <c r="C154" s="14"/>
      <c r="D154" s="11"/>
      <c r="E154" s="11"/>
      <c r="F154" s="11"/>
      <c r="G154" s="11"/>
      <c r="I154" s="46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2:26" ht="12.75">
      <c r="B155" s="14"/>
      <c r="C155" s="14"/>
      <c r="D155" s="11"/>
      <c r="E155" s="11"/>
      <c r="F155" s="11"/>
      <c r="G155" s="11"/>
      <c r="I155" s="46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</sheetData>
  <sheetProtection/>
  <mergeCells count="1">
    <mergeCell ref="J79:M79"/>
  </mergeCells>
  <hyperlinks>
    <hyperlink ref="D7" r:id="rId1" display="http://www.oekopriority.com/upload/download/Schwimmende_Estriche_UB_Traglastnachweis_2_von_2.pdf"/>
    <hyperlink ref="C142" r:id="rId2" display="http://www.oekopriority.com/upload/download/Schwimmende_Estriche_UB_Traglastnachweis_2_von_2.pdf"/>
  </hyperlinks>
  <printOptions/>
  <pageMargins left="0.787401575" right="0.787401575" top="0.984251969" bottom="0.984251969" header="0.4921259845" footer="0.492125984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8"/>
  <sheetViews>
    <sheetView zoomScalePageLayoutView="0" workbookViewId="0" topLeftCell="C1">
      <selection activeCell="I26" sqref="I26"/>
    </sheetView>
  </sheetViews>
  <sheetFormatPr defaultColWidth="11.421875" defaultRowHeight="12.75"/>
  <cols>
    <col min="1" max="1" width="27.00390625" style="0" customWidth="1"/>
    <col min="2" max="2" width="18.421875" style="0" customWidth="1"/>
    <col min="3" max="3" width="20.7109375" style="0" customWidth="1"/>
    <col min="4" max="4" width="13.7109375" style="0" customWidth="1"/>
    <col min="5" max="5" width="22.7109375" style="0" customWidth="1"/>
    <col min="6" max="6" width="15.8515625" style="0" customWidth="1"/>
    <col min="7" max="7" width="16.00390625" style="0" customWidth="1"/>
    <col min="8" max="8" width="21.421875" style="0" customWidth="1"/>
    <col min="9" max="9" width="22.140625" style="0" customWidth="1"/>
    <col min="10" max="10" width="17.421875" style="0" customWidth="1"/>
    <col min="11" max="11" width="19.140625" style="0" customWidth="1"/>
    <col min="12" max="12" width="19.8515625" style="0" customWidth="1"/>
    <col min="13" max="13" width="22.8515625" style="0" customWidth="1"/>
    <col min="14" max="14" width="14.57421875" style="0" customWidth="1"/>
    <col min="15" max="15" width="18.00390625" style="0" customWidth="1"/>
    <col min="16" max="16" width="18.8515625" style="0" customWidth="1"/>
    <col min="17" max="17" width="11.57421875" style="0" customWidth="1"/>
    <col min="20" max="20" width="15.57421875" style="0" customWidth="1"/>
    <col min="22" max="22" width="12.28125" style="0" customWidth="1"/>
    <col min="23" max="23" width="11.57421875" style="0" customWidth="1"/>
    <col min="24" max="24" width="10.57421875" style="0" customWidth="1"/>
    <col min="25" max="25" width="11.28125" style="0" customWidth="1"/>
  </cols>
  <sheetData>
    <row r="1" spans="1:1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7.25">
      <c r="A2" s="29"/>
      <c r="B2" s="29"/>
      <c r="C2" s="29"/>
      <c r="D2" s="29"/>
      <c r="E2" s="29"/>
      <c r="F2" s="29"/>
      <c r="G2" s="29"/>
      <c r="H2" s="24"/>
      <c r="I2" s="24"/>
      <c r="J2" s="24"/>
      <c r="K2" s="24"/>
      <c r="L2" s="24"/>
      <c r="M2" s="24"/>
      <c r="N2" s="24"/>
      <c r="O2" s="21"/>
      <c r="P2" s="21"/>
    </row>
    <row r="3" spans="1:16" ht="17.25">
      <c r="A3" s="29"/>
      <c r="B3" s="29"/>
      <c r="C3" s="29"/>
      <c r="D3" s="29"/>
      <c r="E3" s="29"/>
      <c r="F3" s="29"/>
      <c r="G3" s="29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>
      <c r="A5" s="2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15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7.25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7.25">
      <c r="A8" s="29"/>
      <c r="B8" s="25"/>
      <c r="C8" s="25"/>
      <c r="D8" s="25"/>
      <c r="E8" s="25"/>
      <c r="F8" s="25"/>
      <c r="G8" s="25"/>
      <c r="H8" s="25"/>
      <c r="I8" s="25"/>
      <c r="J8" s="21"/>
      <c r="K8" s="21"/>
      <c r="L8" s="21"/>
      <c r="M8" s="21"/>
      <c r="N8" s="21"/>
      <c r="O8" s="21"/>
      <c r="P8" s="21"/>
    </row>
    <row r="9" spans="1:16" ht="13.5">
      <c r="A9" s="28"/>
      <c r="B9" s="220"/>
      <c r="C9" s="28"/>
      <c r="D9" s="2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3.5">
      <c r="A11" s="228"/>
      <c r="B11" s="28"/>
      <c r="C11" s="28"/>
      <c r="D11" s="28"/>
      <c r="E11" s="10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5">
      <c r="A13" s="21"/>
      <c r="B13" s="218"/>
      <c r="C13" s="21"/>
      <c r="D13" s="21"/>
      <c r="E13" s="8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3.5">
      <c r="A15" s="21"/>
      <c r="B15" s="218"/>
      <c r="C15" s="21"/>
      <c r="D15" s="21"/>
      <c r="E15" s="154"/>
      <c r="F15" s="229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/>
      <c r="B16" s="21"/>
      <c r="C16" s="21"/>
      <c r="D16" s="21"/>
      <c r="E16" s="9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3.5">
      <c r="A17" s="21"/>
      <c r="B17" s="218"/>
      <c r="C17" s="21"/>
      <c r="D17" s="21"/>
      <c r="E17" s="154"/>
      <c r="F17" s="229"/>
      <c r="G17" s="218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/>
      <c r="B18" s="21"/>
      <c r="C18" s="21"/>
      <c r="D18" s="21"/>
      <c r="E18" s="9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/>
      <c r="B19" s="21"/>
      <c r="C19" s="21"/>
      <c r="D19" s="21"/>
      <c r="E19" s="9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3.5">
      <c r="A20" s="228"/>
      <c r="B20" s="21"/>
      <c r="C20" s="21"/>
      <c r="D20" s="21"/>
      <c r="E20" s="9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/>
      <c r="B21" s="21"/>
      <c r="C21" s="21"/>
      <c r="D21" s="21"/>
      <c r="E21" s="9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3.5">
      <c r="A22" s="21"/>
      <c r="B22" s="218"/>
      <c r="C22" s="21"/>
      <c r="D22" s="21"/>
      <c r="E22" s="23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21"/>
      <c r="C23" s="21"/>
      <c r="D23" s="21"/>
      <c r="E23" s="9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3.5">
      <c r="A24" s="21"/>
      <c r="B24" s="218"/>
      <c r="C24" s="21"/>
      <c r="D24" s="21"/>
      <c r="E24" s="154"/>
      <c r="F24" s="17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/>
      <c r="B25" s="21"/>
      <c r="C25" s="21"/>
      <c r="D25" s="21"/>
      <c r="E25" s="9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3.5">
      <c r="A26" s="21"/>
      <c r="B26" s="218"/>
      <c r="C26" s="21"/>
      <c r="D26" s="21"/>
      <c r="E26" s="154"/>
      <c r="F26" s="17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/>
      <c r="B27" s="21"/>
      <c r="C27" s="21"/>
      <c r="D27" s="21"/>
      <c r="E27" s="9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B28" s="21"/>
      <c r="C28" s="21"/>
      <c r="D28" s="21"/>
      <c r="E28" s="9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3.5">
      <c r="A29" s="21"/>
      <c r="B29" s="218"/>
      <c r="C29" s="21"/>
      <c r="D29" s="21"/>
      <c r="E29" s="23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/>
      <c r="B30" s="21"/>
      <c r="C30" s="21"/>
      <c r="D30" s="21"/>
      <c r="E30" s="9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3.5">
      <c r="A31" s="21"/>
      <c r="B31" s="218"/>
      <c r="C31" s="21"/>
      <c r="D31" s="21"/>
      <c r="E31" s="154"/>
      <c r="F31" s="17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/>
      <c r="B32" s="21"/>
      <c r="C32" s="21"/>
      <c r="D32" s="21"/>
      <c r="E32" s="9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3.5">
      <c r="A33" s="21"/>
      <c r="B33" s="218"/>
      <c r="C33" s="21"/>
      <c r="D33" s="21"/>
      <c r="E33" s="154"/>
      <c r="F33" s="17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/>
      <c r="B34" s="21"/>
      <c r="C34" s="21"/>
      <c r="D34" s="21"/>
      <c r="E34" s="9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/>
      <c r="B35" s="21"/>
      <c r="C35" s="21"/>
      <c r="D35" s="21"/>
      <c r="E35" s="9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3.5">
      <c r="A36" s="21"/>
      <c r="B36" s="218"/>
      <c r="C36" s="21"/>
      <c r="D36" s="21"/>
      <c r="E36" s="89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/>
      <c r="B37" s="21"/>
      <c r="C37" s="21"/>
      <c r="D37" s="21"/>
      <c r="E37" s="9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3.5">
      <c r="A38" s="21"/>
      <c r="B38" s="218"/>
      <c r="C38" s="21"/>
      <c r="D38" s="21"/>
      <c r="E38" s="154"/>
      <c r="F38" s="171"/>
      <c r="G38" s="9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21"/>
      <c r="B39" s="21"/>
      <c r="C39" s="21"/>
      <c r="D39" s="21"/>
      <c r="E39" s="9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3.5">
      <c r="A40" s="21"/>
      <c r="B40" s="218"/>
      <c r="C40" s="21"/>
      <c r="D40" s="21"/>
      <c r="E40" s="154"/>
      <c r="F40" s="17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/>
      <c r="B41" s="21"/>
      <c r="C41" s="21"/>
      <c r="D41" s="21"/>
      <c r="E41" s="9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/>
      <c r="B42" s="21"/>
      <c r="C42" s="21"/>
      <c r="D42" s="21"/>
      <c r="E42" s="9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3.5">
      <c r="A43" s="21"/>
      <c r="B43" s="28"/>
      <c r="C43" s="21"/>
      <c r="D43" s="21"/>
      <c r="E43" s="154"/>
      <c r="F43" s="171"/>
      <c r="G43" s="218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3.5">
      <c r="A44" s="21"/>
      <c r="B44" s="21"/>
      <c r="C44" s="21"/>
      <c r="D44" s="21"/>
      <c r="E44" s="90"/>
      <c r="F44" s="21"/>
      <c r="G44" s="219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/>
      <c r="B45" s="21"/>
      <c r="C45" s="21"/>
      <c r="D45" s="21"/>
      <c r="E45" s="9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3.5">
      <c r="A46" s="228"/>
      <c r="B46" s="21"/>
      <c r="C46" s="21"/>
      <c r="D46" s="21"/>
      <c r="E46" s="9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21"/>
      <c r="C47" s="21"/>
      <c r="D47" s="21"/>
      <c r="E47" s="9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3.5">
      <c r="A48" s="21"/>
      <c r="B48" s="231"/>
      <c r="C48" s="232"/>
      <c r="D48" s="232"/>
      <c r="E48" s="154"/>
      <c r="F48" s="171"/>
      <c r="G48" s="218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21"/>
      <c r="B49" s="233"/>
      <c r="C49" s="234"/>
      <c r="D49" s="21"/>
      <c r="E49" s="90"/>
      <c r="F49" s="21"/>
      <c r="G49" s="233"/>
      <c r="H49" s="233"/>
      <c r="I49" s="233"/>
      <c r="J49" s="21"/>
      <c r="K49" s="21"/>
      <c r="L49" s="21"/>
      <c r="M49" s="21"/>
      <c r="N49" s="21"/>
      <c r="O49" s="21"/>
      <c r="P49" s="21"/>
    </row>
    <row r="50" spans="1:16" ht="13.5">
      <c r="A50" s="21"/>
      <c r="B50" s="218"/>
      <c r="C50" s="21"/>
      <c r="D50" s="21"/>
      <c r="E50" s="154"/>
      <c r="F50" s="171"/>
      <c r="G50" s="235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151"/>
      <c r="C51" s="21"/>
      <c r="D51" s="21"/>
      <c r="E51" s="9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3.5">
      <c r="A52" s="21"/>
      <c r="B52" s="219"/>
      <c r="C52" s="21"/>
      <c r="D52" s="21"/>
      <c r="E52" s="154"/>
      <c r="F52" s="171"/>
      <c r="G52" s="235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151"/>
      <c r="C53" s="21"/>
      <c r="D53" s="21"/>
      <c r="E53" s="9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3.5">
      <c r="A54" s="21"/>
      <c r="B54" s="219"/>
      <c r="C54" s="21"/>
      <c r="D54" s="21"/>
      <c r="E54" s="154"/>
      <c r="F54" s="17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151"/>
      <c r="C55" s="21"/>
      <c r="D55" s="21"/>
      <c r="E55" s="9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3.5">
      <c r="A56" s="21"/>
      <c r="B56" s="219"/>
      <c r="C56" s="21"/>
      <c r="D56" s="21"/>
      <c r="E56" s="154"/>
      <c r="F56" s="171"/>
      <c r="G56" s="228"/>
      <c r="H56" s="220"/>
      <c r="I56" s="220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21"/>
      <c r="E57" s="9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3.5">
      <c r="A58" s="21"/>
      <c r="B58" s="218"/>
      <c r="C58" s="21"/>
      <c r="D58" s="21"/>
      <c r="E58" s="154"/>
      <c r="F58" s="171"/>
      <c r="G58" s="218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3.5">
      <c r="A59" s="21"/>
      <c r="B59" s="21"/>
      <c r="C59" s="21"/>
      <c r="D59" s="21"/>
      <c r="E59" s="236"/>
      <c r="F59" s="220"/>
      <c r="G59" s="220"/>
      <c r="H59" s="220"/>
      <c r="I59" s="220"/>
      <c r="J59" s="237"/>
      <c r="K59" s="236"/>
      <c r="L59" s="21"/>
      <c r="M59" s="21"/>
      <c r="N59" s="21"/>
      <c r="O59" s="21"/>
      <c r="P59" s="21"/>
    </row>
    <row r="60" spans="1:16" ht="13.5">
      <c r="A60" s="28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3.5">
      <c r="A62" s="2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3.5">
      <c r="A63" s="21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3.5">
      <c r="A64" s="21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3.5">
      <c r="A66" s="21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24" ht="13.5">
      <c r="A67" s="218"/>
      <c r="B67" s="219"/>
      <c r="C67" s="21"/>
      <c r="D67" s="21"/>
      <c r="E67" s="21"/>
      <c r="F67" s="21"/>
      <c r="G67" s="219"/>
      <c r="H67" s="21"/>
      <c r="I67" s="21"/>
      <c r="J67" s="21"/>
      <c r="K67" s="21"/>
      <c r="L67" s="21"/>
      <c r="M67" s="21"/>
      <c r="N67" s="21"/>
      <c r="O67" s="21"/>
      <c r="P67" s="21"/>
      <c r="X67" s="46"/>
    </row>
    <row r="68" spans="1:16" ht="13.5">
      <c r="A68" s="218"/>
      <c r="B68" s="21"/>
      <c r="C68" s="21"/>
      <c r="D68" s="21"/>
      <c r="E68" s="9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3.5">
      <c r="A69" s="218"/>
      <c r="B69" s="219"/>
      <c r="C69" s="21"/>
      <c r="D69" s="21"/>
      <c r="E69" s="21"/>
      <c r="F69" s="171"/>
      <c r="G69" s="219"/>
      <c r="H69" s="91"/>
      <c r="I69" s="91"/>
      <c r="J69" s="91"/>
      <c r="K69" s="21"/>
      <c r="L69" s="21"/>
      <c r="M69" s="21"/>
      <c r="N69" s="21"/>
      <c r="O69" s="21"/>
      <c r="P69" s="21"/>
    </row>
    <row r="70" spans="1:16" ht="13.5">
      <c r="A70" s="28"/>
      <c r="B70" s="220"/>
      <c r="C70" s="220"/>
      <c r="D70" s="220"/>
      <c r="E70" s="154"/>
      <c r="F70" s="154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3.5">
      <c r="A71" s="21"/>
      <c r="B71" s="21"/>
      <c r="C71" s="21"/>
      <c r="D71" s="21"/>
      <c r="E71" s="21"/>
      <c r="F71" s="21"/>
      <c r="G71" s="154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3.5">
      <c r="A72" s="238"/>
      <c r="B72" s="239"/>
      <c r="C72" s="239"/>
      <c r="D72" s="239"/>
      <c r="E72" s="239"/>
      <c r="F72" s="239"/>
      <c r="G72" s="239"/>
      <c r="H72" s="239"/>
      <c r="I72" s="239"/>
      <c r="J72" s="21"/>
      <c r="K72" s="21"/>
      <c r="L72" s="21"/>
      <c r="M72" s="21"/>
      <c r="N72" s="21"/>
      <c r="O72" s="21"/>
      <c r="P72" s="21"/>
    </row>
    <row r="73" spans="1:16" ht="12.75">
      <c r="A73" s="151"/>
      <c r="B73" s="21"/>
      <c r="C73" s="21"/>
      <c r="D73" s="21"/>
      <c r="E73" s="21"/>
      <c r="F73" s="21"/>
      <c r="G73" s="21"/>
      <c r="H73" s="21"/>
      <c r="I73" s="21"/>
      <c r="J73" s="239"/>
      <c r="K73" s="21"/>
      <c r="L73" s="21"/>
      <c r="M73" s="21"/>
      <c r="N73" s="21"/>
      <c r="O73" s="21"/>
      <c r="P73" s="21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66"/>
    </row>
    <row r="75" spans="1:25" ht="14.25" thickTop="1">
      <c r="A75" s="154"/>
      <c r="B75" s="28"/>
      <c r="C75" s="28"/>
      <c r="D75" s="28"/>
      <c r="E75" s="28"/>
      <c r="F75" s="21"/>
      <c r="G75" s="21"/>
      <c r="H75" s="28"/>
      <c r="I75" s="21"/>
      <c r="J75" s="102"/>
      <c r="K75" s="103"/>
      <c r="L75" s="103"/>
      <c r="M75" s="103"/>
      <c r="N75" s="21"/>
      <c r="O75" s="21"/>
      <c r="P75" s="28"/>
      <c r="Q75" s="56"/>
      <c r="R75" s="56"/>
      <c r="S75" s="43"/>
      <c r="T75" s="43"/>
      <c r="U75" s="43"/>
      <c r="V75" s="43"/>
      <c r="W75" s="43"/>
      <c r="X75" s="43"/>
      <c r="Y75" s="44"/>
    </row>
    <row r="76" spans="1:25" ht="14.25" thickBot="1">
      <c r="A76" s="89"/>
      <c r="B76" s="28"/>
      <c r="C76" s="28"/>
      <c r="D76" s="28"/>
      <c r="E76" s="28"/>
      <c r="F76" s="89"/>
      <c r="G76" s="90"/>
      <c r="H76" s="28"/>
      <c r="I76" s="28"/>
      <c r="J76" s="28"/>
      <c r="K76" s="21"/>
      <c r="L76" s="21"/>
      <c r="M76" s="21"/>
      <c r="N76" s="28"/>
      <c r="O76" s="21"/>
      <c r="P76" s="21"/>
      <c r="Q76" s="226" t="s">
        <v>74</v>
      </c>
      <c r="R76" s="85"/>
      <c r="S76" s="82"/>
      <c r="T76" s="82"/>
      <c r="U76" s="82"/>
      <c r="V76" s="82"/>
      <c r="W76" s="82"/>
      <c r="X76" s="82"/>
      <c r="Y76" s="83"/>
    </row>
    <row r="77" spans="1:26" ht="14.25" thickTop="1">
      <c r="A77" s="154"/>
      <c r="B77" s="103"/>
      <c r="C77" s="90"/>
      <c r="D77" s="103"/>
      <c r="E77" s="90"/>
      <c r="F77" s="240"/>
      <c r="G77" s="90"/>
      <c r="H77" s="103"/>
      <c r="I77" s="90"/>
      <c r="J77" s="220"/>
      <c r="K77" s="220"/>
      <c r="L77" s="230"/>
      <c r="M77" s="104"/>
      <c r="N77" s="20"/>
      <c r="O77" s="20"/>
      <c r="P77" s="99"/>
      <c r="Q77" s="227" t="s">
        <v>24</v>
      </c>
      <c r="R77" s="60" t="s">
        <v>27</v>
      </c>
      <c r="S77" s="60" t="s">
        <v>44</v>
      </c>
      <c r="T77" s="60" t="s">
        <v>45</v>
      </c>
      <c r="U77" s="60" t="s">
        <v>51</v>
      </c>
      <c r="V77" s="60" t="s">
        <v>48</v>
      </c>
      <c r="W77" s="60" t="s">
        <v>52</v>
      </c>
      <c r="X77" s="60" t="s">
        <v>53</v>
      </c>
      <c r="Y77" s="61" t="s">
        <v>54</v>
      </c>
      <c r="Z77" s="146"/>
    </row>
    <row r="78" spans="1:25" ht="13.5" thickBot="1">
      <c r="A78" s="90"/>
      <c r="B78" s="240"/>
      <c r="C78" s="90"/>
      <c r="D78" s="240"/>
      <c r="E78" s="90"/>
      <c r="F78" s="240"/>
      <c r="G78" s="90"/>
      <c r="H78" s="241"/>
      <c r="I78" s="91"/>
      <c r="J78" s="48"/>
      <c r="K78" s="48"/>
      <c r="L78" s="48"/>
      <c r="M78" s="48"/>
      <c r="N78" s="20"/>
      <c r="O78" s="20"/>
      <c r="P78" s="20"/>
      <c r="Q78" s="93" t="s">
        <v>89</v>
      </c>
      <c r="R78" s="63" t="s">
        <v>18</v>
      </c>
      <c r="S78" s="59" t="s">
        <v>22</v>
      </c>
      <c r="T78" s="59" t="s">
        <v>46</v>
      </c>
      <c r="U78" s="59" t="s">
        <v>47</v>
      </c>
      <c r="V78" s="79" t="s">
        <v>49</v>
      </c>
      <c r="W78" s="63" t="s">
        <v>18</v>
      </c>
      <c r="X78" s="64" t="s">
        <v>18</v>
      </c>
      <c r="Y78" s="65" t="s">
        <v>18</v>
      </c>
    </row>
    <row r="79" spans="1:25" ht="14.25" thickTop="1">
      <c r="A79" s="154"/>
      <c r="B79" s="171"/>
      <c r="C79" s="171"/>
      <c r="D79" s="171"/>
      <c r="E79" s="171"/>
      <c r="F79" s="171"/>
      <c r="G79" s="171"/>
      <c r="H79" s="219"/>
      <c r="I79" s="219"/>
      <c r="J79" s="279"/>
      <c r="K79" s="280"/>
      <c r="L79" s="280"/>
      <c r="M79" s="280"/>
      <c r="N79" s="219"/>
      <c r="O79" s="219"/>
      <c r="P79" s="219"/>
      <c r="Q79" s="174"/>
      <c r="R79" s="118"/>
      <c r="S79" s="118"/>
      <c r="T79" s="118"/>
      <c r="U79" s="118"/>
      <c r="V79" s="118"/>
      <c r="W79" s="118"/>
      <c r="X79" s="118"/>
      <c r="Y79" s="119"/>
    </row>
    <row r="80" spans="1:25" ht="13.5">
      <c r="A80" s="154"/>
      <c r="B80" s="154"/>
      <c r="C80" s="171"/>
      <c r="D80" s="154"/>
      <c r="E80" s="171"/>
      <c r="F80" s="154"/>
      <c r="G80" s="171"/>
      <c r="H80" s="154"/>
      <c r="I80" s="171"/>
      <c r="J80" s="171"/>
      <c r="K80" s="171"/>
      <c r="L80" s="171"/>
      <c r="M80" s="171"/>
      <c r="N80" s="171"/>
      <c r="O80" s="171"/>
      <c r="P80" s="171"/>
      <c r="Q80" s="221" t="e">
        <f>(E58/(((E26+E33+E40)/A80)*((E58/(E70+0.0001)))+0.83*((E15/E58)^0.333)-((E26+E33+E40)/A80)))</f>
        <v>#DIV/0!</v>
      </c>
      <c r="R80" s="127" t="e">
        <f>(((E15*(A80^3))/(12*(10^-3)*P80)))^0.25</f>
        <v>#DIV/0!</v>
      </c>
      <c r="S80" s="127" t="e">
        <f>((E15*10^3*(A80*10^-3)^3*0.08333)/(T80+(E15*10^3*(A80*10^-3)^3*0.08333)))</f>
        <v>#DIV/0!</v>
      </c>
      <c r="T80" s="127" t="e">
        <f>(D80*E52^2*300)/(48*V80)</f>
        <v>#DIV/0!</v>
      </c>
      <c r="U80" s="127" t="e">
        <f>(S80*E50*E52^2*6)/(8*(A80*10^-3)^2)</f>
        <v>#DIV/0!</v>
      </c>
      <c r="V80" s="127" t="e">
        <f>((1+(0.625*(E50+A80*10^-3*E54)*E52)/D80)^-1)</f>
        <v>#DIV/0!</v>
      </c>
      <c r="W80" s="127" t="e">
        <f>(5*E50*S80*E52^4)/(384*E15*10^3*(A80*10^-3)^3*0.08333)*10^3</f>
        <v>#DIV/0!</v>
      </c>
      <c r="X80" s="127" t="e">
        <f>(H80*E52^3)/(48*E15*10^3*(A80*10^-3)^3*0.08333)*10^3</f>
        <v>#DIV/0!</v>
      </c>
      <c r="Y80" s="128" t="e">
        <f>(H80/D80)*E80</f>
        <v>#DIV/0!</v>
      </c>
    </row>
    <row r="81" spans="1:25" ht="13.5">
      <c r="A81" s="154"/>
      <c r="B81" s="154"/>
      <c r="C81" s="171"/>
      <c r="D81" s="154"/>
      <c r="E81" s="171"/>
      <c r="F81" s="154"/>
      <c r="G81" s="171"/>
      <c r="H81" s="154"/>
      <c r="I81" s="171"/>
      <c r="J81" s="171"/>
      <c r="K81" s="171"/>
      <c r="L81" s="171"/>
      <c r="M81" s="171"/>
      <c r="N81" s="171"/>
      <c r="O81" s="171"/>
      <c r="P81" s="171"/>
      <c r="Q81" s="221" t="e">
        <f>(E58/(((E26+E33+E40)/A81)*((E58/(E70+0.0001)))+0.83*((E15/E58)^0.333)-((E26+E33+E40)/A81)))</f>
        <v>#DIV/0!</v>
      </c>
      <c r="R81" s="127" t="e">
        <f>(((E15*(A81^3))/(12*(10^-3)*P81)))^0.25</f>
        <v>#DIV/0!</v>
      </c>
      <c r="S81" s="127" t="e">
        <f>((E15*10^3*(A81*10^-3)^3*0.08333)/(T81+(E15*10^3*(A81*10^-3)^3*0.08333)))</f>
        <v>#DIV/0!</v>
      </c>
      <c r="T81" s="127" t="e">
        <f>(D81*E52^2*300)/(48*V81)</f>
        <v>#DIV/0!</v>
      </c>
      <c r="U81" s="127" t="e">
        <f>(S81*E50*E52^2*6)/(8*(A81*10^-3)^2)</f>
        <v>#DIV/0!</v>
      </c>
      <c r="V81" s="127" t="e">
        <f>((1+(0.625*(E50+A81*10^-3*E54)*E52)/D81)^-1)</f>
        <v>#DIV/0!</v>
      </c>
      <c r="W81" s="127" t="e">
        <f>(5*E50*S81*E52^4)/(384*E15*10^3*(A81*10^-3)^3*0.08333)*10^3</f>
        <v>#DIV/0!</v>
      </c>
      <c r="X81" s="127" t="e">
        <f>(H81*E52^3)/(48*E15*10^3*(A81*10^-3)^3*0.08333)*10^3</f>
        <v>#DIV/0!</v>
      </c>
      <c r="Y81" s="128" t="e">
        <f aca="true" t="shared" si="0" ref="Y81:Y104">(H81/D81)*E81</f>
        <v>#DIV/0!</v>
      </c>
    </row>
    <row r="82" spans="1:25" ht="13.5">
      <c r="A82" s="154"/>
      <c r="B82" s="154"/>
      <c r="C82" s="171"/>
      <c r="D82" s="154"/>
      <c r="E82" s="171"/>
      <c r="F82" s="154"/>
      <c r="G82" s="171"/>
      <c r="H82" s="154"/>
      <c r="I82" s="171"/>
      <c r="J82" s="171"/>
      <c r="K82" s="171"/>
      <c r="L82" s="171"/>
      <c r="M82" s="171"/>
      <c r="N82" s="171"/>
      <c r="O82" s="171"/>
      <c r="P82" s="171"/>
      <c r="Q82" s="221" t="e">
        <f>(E58/(((E26+E33+E40)/A82)*((E58/(E70+0.0001)))+0.83*((E15/E58)^0.333)-((E26+E33+E40)/A82)))</f>
        <v>#DIV/0!</v>
      </c>
      <c r="R82" s="127" t="e">
        <f>(((E15*(A82^3))/(12*(10^-3)*P82)))^0.25</f>
        <v>#DIV/0!</v>
      </c>
      <c r="S82" s="127" t="e">
        <f>((E15*10^3*(A82*10^-3)^3*0.08333)/(T82+(E15*10^3*(A82*10^-3)^3*0.08333)))</f>
        <v>#DIV/0!</v>
      </c>
      <c r="T82" s="127" t="e">
        <f>(D82*E52^2*300)/(48*V82)</f>
        <v>#DIV/0!</v>
      </c>
      <c r="U82" s="127" t="e">
        <f>(S82*E50*E52^2*6)/(8*(A82*10^-3)^2)</f>
        <v>#DIV/0!</v>
      </c>
      <c r="V82" s="127" t="e">
        <f>((1+(0.625*(E50+A82*10^-3*E54)*E52)/D82)^-1)</f>
        <v>#DIV/0!</v>
      </c>
      <c r="W82" s="127" t="e">
        <f>(5*E50*S82*E52^4)/(384*E15*10^3*(A82*10^-3)^3*0.08333)*10^3</f>
        <v>#DIV/0!</v>
      </c>
      <c r="X82" s="127" t="e">
        <f>(H82*E52^3)/(48*E15*10^3*(A82*10^-3)^3*0.08333)*10^3</f>
        <v>#DIV/0!</v>
      </c>
      <c r="Y82" s="128" t="e">
        <f t="shared" si="0"/>
        <v>#DIV/0!</v>
      </c>
    </row>
    <row r="83" spans="1:25" ht="13.5">
      <c r="A83" s="154"/>
      <c r="B83" s="154"/>
      <c r="C83" s="171"/>
      <c r="D83" s="154"/>
      <c r="E83" s="171"/>
      <c r="F83" s="154"/>
      <c r="G83" s="171"/>
      <c r="H83" s="154"/>
      <c r="I83" s="171"/>
      <c r="J83" s="171"/>
      <c r="K83" s="171"/>
      <c r="L83" s="171"/>
      <c r="M83" s="171"/>
      <c r="N83" s="171"/>
      <c r="O83" s="171"/>
      <c r="P83" s="171"/>
      <c r="Q83" s="221" t="e">
        <f>(E58/(((E26+E33+E40)/A83)*((E58/(E70+0.0001)))+0.83*((E15/E58)^0.333)-((E26+E33+E40)/A83)))</f>
        <v>#DIV/0!</v>
      </c>
      <c r="R83" s="127" t="e">
        <f>(((E15*(A83^3))/(12*(10^-3)*P83)))^0.25</f>
        <v>#DIV/0!</v>
      </c>
      <c r="S83" s="127" t="e">
        <f>((E15*10^3*(A83*10^-3)^3*0.08333)/(T83+(E15*10^3*(A83*10^-3)^3*0.08333)))</f>
        <v>#DIV/0!</v>
      </c>
      <c r="T83" s="127" t="e">
        <f>(D83*E52^2*300)/(48*V83)</f>
        <v>#DIV/0!</v>
      </c>
      <c r="U83" s="127" t="e">
        <f>(S83*E50*E52^2*6)/(8*(A83*10^-3)^2)</f>
        <v>#DIV/0!</v>
      </c>
      <c r="V83" s="127" t="e">
        <f>((1+(0.625*(E50+A83*10^-3*E54)*E52)/D83)^-1)</f>
        <v>#DIV/0!</v>
      </c>
      <c r="W83" s="127" t="e">
        <f>(5*E50*S83*E52^4)/(384*E15*10^3*(A83*10^-3)^3*0.08333)*10^3</f>
        <v>#DIV/0!</v>
      </c>
      <c r="X83" s="127" t="e">
        <f>(H83*E52^3)/(48*E15*10^3*(A83*10^-3)^3*0.08333)*10^3</f>
        <v>#DIV/0!</v>
      </c>
      <c r="Y83" s="128" t="e">
        <f t="shared" si="0"/>
        <v>#DIV/0!</v>
      </c>
    </row>
    <row r="84" spans="1:25" ht="13.5">
      <c r="A84" s="154"/>
      <c r="B84" s="154"/>
      <c r="C84" s="171"/>
      <c r="D84" s="154"/>
      <c r="E84" s="171"/>
      <c r="F84" s="154"/>
      <c r="G84" s="171"/>
      <c r="H84" s="154"/>
      <c r="I84" s="171"/>
      <c r="J84" s="171"/>
      <c r="K84" s="171"/>
      <c r="L84" s="171"/>
      <c r="M84" s="171"/>
      <c r="N84" s="171"/>
      <c r="O84" s="171"/>
      <c r="P84" s="171"/>
      <c r="Q84" s="221" t="e">
        <f>(E58/(((E26+E33+E40)/A84)*((E58/(E70+0.0001)))+0.83*((E15/E58)^0.333)-((E26+E33+E40)/A84)))</f>
        <v>#DIV/0!</v>
      </c>
      <c r="R84" s="127" t="e">
        <f>(((E15*(A84^3))/(12*(10^-3)*P84)))^0.25</f>
        <v>#DIV/0!</v>
      </c>
      <c r="S84" s="127" t="e">
        <f>((E15*10^3*(A84*10^-3)^3*0.08333)/(T84+(E15*10^3*(A84*10^-3)^3*0.08333)))</f>
        <v>#DIV/0!</v>
      </c>
      <c r="T84" s="127" t="e">
        <f>(D84*E52^2*300)/(48*V84)</f>
        <v>#DIV/0!</v>
      </c>
      <c r="U84" s="127" t="e">
        <f>(S84*E50*E52^2*6)/(8*(A84*10^-3)^2)</f>
        <v>#DIV/0!</v>
      </c>
      <c r="V84" s="127" t="e">
        <f>((1+(0.625*(E50+A84*10^-3*E54)*E52)/D84)^-1)</f>
        <v>#DIV/0!</v>
      </c>
      <c r="W84" s="127" t="e">
        <f>(5*E50*S84*E52^4)/(384*E15*10^3*(A84*10^-3)^3*0.08333)*10^3</f>
        <v>#DIV/0!</v>
      </c>
      <c r="X84" s="127" t="e">
        <f>(H84*E52^3)/(48*E15*10^3*(A84*10^-3)^3*0.08333)*10^3</f>
        <v>#DIV/0!</v>
      </c>
      <c r="Y84" s="128" t="e">
        <f t="shared" si="0"/>
        <v>#DIV/0!</v>
      </c>
    </row>
    <row r="85" spans="1:25" ht="13.5">
      <c r="A85" s="154"/>
      <c r="B85" s="154"/>
      <c r="C85" s="171"/>
      <c r="D85" s="154"/>
      <c r="E85" s="171"/>
      <c r="F85" s="154"/>
      <c r="G85" s="171"/>
      <c r="H85" s="154"/>
      <c r="I85" s="171"/>
      <c r="J85" s="171"/>
      <c r="K85" s="171"/>
      <c r="L85" s="171"/>
      <c r="M85" s="171"/>
      <c r="N85" s="171"/>
      <c r="O85" s="171"/>
      <c r="P85" s="171"/>
      <c r="Q85" s="221" t="e">
        <f>(E58/(((E26+E33+E40)/A85)*((E58/(E70+0.0001)))+0.83*((E15/E58)^0.333)-((E26+E33+E40)/A85)))</f>
        <v>#DIV/0!</v>
      </c>
      <c r="R85" s="127" t="e">
        <f>(((E15*(A85^3))/(12*(10^-3)*P85)))^0.25</f>
        <v>#DIV/0!</v>
      </c>
      <c r="S85" s="127" t="e">
        <f>((E15*10^3*(A85*10^-3)^3*0.08333)/(T85+(E15*10^3*(A85*10^-3)^3*0.08333)))</f>
        <v>#DIV/0!</v>
      </c>
      <c r="T85" s="127" t="e">
        <f>(D85*E52^2*300)/(48*V85)</f>
        <v>#DIV/0!</v>
      </c>
      <c r="U85" s="127" t="e">
        <f>(S85*E50*E52^2*6)/(8*(A85*10^-3)^2)</f>
        <v>#DIV/0!</v>
      </c>
      <c r="V85" s="127" t="e">
        <f>((1+(0.625*(E50+A85*10^-3*E54)*E52)/D85)^-1)</f>
        <v>#DIV/0!</v>
      </c>
      <c r="W85" s="127" t="e">
        <f>(5*E50*S85*E52^4)/(384*E15*10^3*(A85*10^-3)^3*0.08333)*10^3</f>
        <v>#DIV/0!</v>
      </c>
      <c r="X85" s="127" t="e">
        <f>(H85*E52^3)/(48*E15*10^3*(A85*10^-3)^3*0.08333)*10^3</f>
        <v>#DIV/0!</v>
      </c>
      <c r="Y85" s="128" t="e">
        <f t="shared" si="0"/>
        <v>#DIV/0!</v>
      </c>
    </row>
    <row r="86" spans="1:25" ht="13.5">
      <c r="A86" s="154"/>
      <c r="B86" s="154"/>
      <c r="C86" s="171"/>
      <c r="D86" s="154"/>
      <c r="E86" s="171"/>
      <c r="F86" s="154"/>
      <c r="G86" s="171"/>
      <c r="H86" s="154"/>
      <c r="I86" s="171"/>
      <c r="J86" s="171"/>
      <c r="K86" s="171"/>
      <c r="L86" s="171"/>
      <c r="M86" s="171"/>
      <c r="N86" s="171"/>
      <c r="O86" s="171"/>
      <c r="P86" s="171"/>
      <c r="Q86" s="221" t="e">
        <f>(E58/(((E26+E33+E40)/A86)*((E58/(E70+0.0001)))+0.83*((E15/E58)^0.333)-((E26+E33+E40)/A86)))</f>
        <v>#DIV/0!</v>
      </c>
      <c r="R86" s="127" t="e">
        <f>(((E15*(A86^3))/(12*(10^-3)*P86)))^0.25</f>
        <v>#DIV/0!</v>
      </c>
      <c r="S86" s="127" t="e">
        <f>((E15*10^3*(A86*10^-3)^3*0.08333)/(T86+(E15*10^3*(A86*10^-3)^3*0.08333)))</f>
        <v>#DIV/0!</v>
      </c>
      <c r="T86" s="127" t="e">
        <f>(D86*E52^2*300)/(48*V86)</f>
        <v>#DIV/0!</v>
      </c>
      <c r="U86" s="127" t="e">
        <f>(S86*E50*E52^2*6)/(8*(A86*10^-3)^2)</f>
        <v>#DIV/0!</v>
      </c>
      <c r="V86" s="127" t="e">
        <f>((1+(0.625*(E50+A86*10^-3*E54)*E52)/D86)^-1)</f>
        <v>#DIV/0!</v>
      </c>
      <c r="W86" s="127" t="e">
        <f>(5*E50*S86*E52^4)/(384*E15*10^3*(A86*10^-3)^3*0.08333)*10^3</f>
        <v>#DIV/0!</v>
      </c>
      <c r="X86" s="127" t="e">
        <f>(H86*E52^3)/(48*E15*10^3*(A86*10^-3)^3*0.08333)*10^3</f>
        <v>#DIV/0!</v>
      </c>
      <c r="Y86" s="128" t="e">
        <f t="shared" si="0"/>
        <v>#DIV/0!</v>
      </c>
    </row>
    <row r="87" spans="1:25" ht="13.5">
      <c r="A87" s="154"/>
      <c r="B87" s="154"/>
      <c r="C87" s="171"/>
      <c r="D87" s="154"/>
      <c r="E87" s="171"/>
      <c r="F87" s="154"/>
      <c r="G87" s="171"/>
      <c r="H87" s="154"/>
      <c r="I87" s="171"/>
      <c r="J87" s="171"/>
      <c r="K87" s="171"/>
      <c r="L87" s="171"/>
      <c r="M87" s="171"/>
      <c r="N87" s="171"/>
      <c r="O87" s="171"/>
      <c r="P87" s="171"/>
      <c r="Q87" s="221" t="e">
        <f>(E58/(((E26+E33+E40)/A87)*((E58/(E70+0.0001)))+0.83*((E15/E58)^0.333)-((E27+E33+E40)/A87)))</f>
        <v>#DIV/0!</v>
      </c>
      <c r="R87" s="127" t="e">
        <f>(((E15*(A87^3))/(12*(10^-3)*P87)))^0.25</f>
        <v>#DIV/0!</v>
      </c>
      <c r="S87" s="127" t="e">
        <f>((E15*10^3*(A87*10^-3)^3*0.08333)/(T87+(E15*10^3*(A87*10^-3)^3*0.08333)))</f>
        <v>#DIV/0!</v>
      </c>
      <c r="T87" s="127" t="e">
        <f>(D87*E52^2*300)/(48*V87)</f>
        <v>#DIV/0!</v>
      </c>
      <c r="U87" s="127" t="e">
        <f>(S87*E50*E52^2*6)/(8*(A87*10^-3)^2)</f>
        <v>#DIV/0!</v>
      </c>
      <c r="V87" s="127" t="e">
        <f>((1+(0.625*(E50+A87*10^-3*E54)*E52)/D87)^-1)</f>
        <v>#DIV/0!</v>
      </c>
      <c r="W87" s="127" t="e">
        <f>(5*E50*S87*E52^4)/(384*E15*10^3*(A87*10^-3)^3*0.08333)*10^3</f>
        <v>#DIV/0!</v>
      </c>
      <c r="X87" s="127" t="e">
        <f>(H87*E52^3)/(48*E15*10^3*(A87*10^-3)^3*0.08333)*10^3</f>
        <v>#DIV/0!</v>
      </c>
      <c r="Y87" s="128" t="e">
        <f t="shared" si="0"/>
        <v>#DIV/0!</v>
      </c>
    </row>
    <row r="88" spans="1:27" ht="13.5">
      <c r="A88" s="154"/>
      <c r="B88" s="154"/>
      <c r="C88" s="171"/>
      <c r="D88" s="154"/>
      <c r="E88" s="171"/>
      <c r="F88" s="154"/>
      <c r="G88" s="171"/>
      <c r="H88" s="154"/>
      <c r="I88" s="171"/>
      <c r="J88" s="171"/>
      <c r="K88" s="171"/>
      <c r="L88" s="171"/>
      <c r="M88" s="171"/>
      <c r="N88" s="171"/>
      <c r="O88" s="171"/>
      <c r="P88" s="171"/>
      <c r="Q88" s="221" t="e">
        <f>(E58/(((E26+E33+E40)/A88)*((E58/(E70+0.0001)))+0.83*((E15/E58)^0.333)-((E26+E33+E40)/A88)))</f>
        <v>#DIV/0!</v>
      </c>
      <c r="R88" s="127" t="e">
        <f>(((E15*(A88^3))/(12*(10^-3)*P88)))^0.25</f>
        <v>#DIV/0!</v>
      </c>
      <c r="S88" s="127" t="e">
        <f>((E15*10^3*(A88*10^-3)^3*0.08333)/(T88+(E15*10^3*(A88*10^-3)^3*0.08333)))</f>
        <v>#DIV/0!</v>
      </c>
      <c r="T88" s="127" t="e">
        <f>(D88*E52^2*300)/(48*V88)</f>
        <v>#DIV/0!</v>
      </c>
      <c r="U88" s="127" t="e">
        <f>(S88*E50*E52^2*6)/(8*(A88*10^-3)^2)</f>
        <v>#DIV/0!</v>
      </c>
      <c r="V88" s="127" t="e">
        <f>((1+(0.625*(E50+A88*10^-3*E54)*E52)/D88)^-1)</f>
        <v>#DIV/0!</v>
      </c>
      <c r="W88" s="127" t="e">
        <f>(5*E50*S88*E52^4)/(384*E15*10^3*(A88*10^-3)^3*0.08333)*10^3</f>
        <v>#DIV/0!</v>
      </c>
      <c r="X88" s="127" t="e">
        <f>(H88*E52^3)/(48*E15*10^3*(A88*10^-3)^3*0.08333)*10^3</f>
        <v>#DIV/0!</v>
      </c>
      <c r="Y88" s="128" t="e">
        <f t="shared" si="0"/>
        <v>#DIV/0!</v>
      </c>
      <c r="AA88" s="171"/>
    </row>
    <row r="89" spans="1:25" ht="13.5">
      <c r="A89" s="154"/>
      <c r="B89" s="154"/>
      <c r="C89" s="171"/>
      <c r="D89" s="154"/>
      <c r="E89" s="171"/>
      <c r="F89" s="154"/>
      <c r="G89" s="171"/>
      <c r="H89" s="154"/>
      <c r="I89" s="171"/>
      <c r="J89" s="171"/>
      <c r="K89" s="171"/>
      <c r="L89" s="171"/>
      <c r="M89" s="171"/>
      <c r="N89" s="171"/>
      <c r="O89" s="171"/>
      <c r="P89" s="171"/>
      <c r="Q89" s="221" t="e">
        <f>(E58/(((E26+E33+E40)/A89)*((E58/(E70+0.0001)))+0.83*((E15/E58)^0.333)-((E26+E33+E40)/A89)))</f>
        <v>#DIV/0!</v>
      </c>
      <c r="R89" s="127" t="e">
        <f>(((E15*(A89^3))/(12*(10^-3)*P89)))^0.25</f>
        <v>#DIV/0!</v>
      </c>
      <c r="S89" s="127" t="e">
        <f>((E15*10^3*(A89*10^-3)^3*0.08333)/(T89+(E15*10^3*(A89*10^-3)^3*0.08333)))</f>
        <v>#DIV/0!</v>
      </c>
      <c r="T89" s="127" t="e">
        <f>(D89*E52^2*300)/(48*V89)</f>
        <v>#DIV/0!</v>
      </c>
      <c r="U89" s="127" t="e">
        <f>(S89*E50*E52^2*6)/(8*(A89*10^-3)^2)</f>
        <v>#DIV/0!</v>
      </c>
      <c r="V89" s="127" t="e">
        <f>((1+(0.625*(E50+A89*10^-3*E54)*E52)/D89)^-1)</f>
        <v>#DIV/0!</v>
      </c>
      <c r="W89" s="127" t="e">
        <f>(5*E50*S89*E52^4)/(384*E15*10^3*(A89*10^-3)^3*0.08333)*10^3</f>
        <v>#DIV/0!</v>
      </c>
      <c r="X89" s="127" t="e">
        <f>(H89*E52^3)/(48*E15*10^3*(A89*10^-3)^3*0.08333)*10^3</f>
        <v>#DIV/0!</v>
      </c>
      <c r="Y89" s="128" t="e">
        <f t="shared" si="0"/>
        <v>#DIV/0!</v>
      </c>
    </row>
    <row r="90" spans="1:25" ht="13.5">
      <c r="A90" s="154"/>
      <c r="B90" s="154"/>
      <c r="C90" s="171"/>
      <c r="D90" s="154"/>
      <c r="E90" s="171"/>
      <c r="F90" s="154"/>
      <c r="G90" s="171"/>
      <c r="H90" s="154"/>
      <c r="I90" s="171"/>
      <c r="J90" s="171"/>
      <c r="K90" s="171"/>
      <c r="L90" s="171"/>
      <c r="M90" s="171"/>
      <c r="N90" s="171"/>
      <c r="O90" s="171"/>
      <c r="P90" s="171"/>
      <c r="Q90" s="221" t="e">
        <f>(E58/(((E26+E33+E40)/A90)*((E58/(E70+0.0001)))+0.83*((E15/E58)^0.333)-((E26+E33+E40)/A90)))</f>
        <v>#DIV/0!</v>
      </c>
      <c r="R90" s="127" t="e">
        <f>(((E15*(A90^3))/(12*(10^-3)*P90)))^0.25</f>
        <v>#DIV/0!</v>
      </c>
      <c r="S90" s="127" t="e">
        <f>((E15*10^3*(A90*10^-3)^3*0.08333)/(T90+(E15*10^3*(A90*10^-3)^3*0.08333)))</f>
        <v>#DIV/0!</v>
      </c>
      <c r="T90" s="127" t="e">
        <f>(D90*E52^2*300)/(48*V90)</f>
        <v>#DIV/0!</v>
      </c>
      <c r="U90" s="127" t="e">
        <f>(S90*E50*E52^2*6)/(8*(A90*10^-3)^2)</f>
        <v>#DIV/0!</v>
      </c>
      <c r="V90" s="127" t="e">
        <f>((1+(0.625*(E50+A90*10^-3*E54)*E52)/D90)^-1)</f>
        <v>#DIV/0!</v>
      </c>
      <c r="W90" s="127" t="e">
        <f>(5*E50*S90*E52^4)/(384*E15*10^3*(A90*10^-3)^3*0.08333)*10^3</f>
        <v>#DIV/0!</v>
      </c>
      <c r="X90" s="127" t="e">
        <f>(H90*E52^3)/(48*E15*10^3*(A90*10^-3)^3*0.08333)*10^3</f>
        <v>#DIV/0!</v>
      </c>
      <c r="Y90" s="128" t="e">
        <f t="shared" si="0"/>
        <v>#DIV/0!</v>
      </c>
    </row>
    <row r="91" spans="1:25" ht="13.5">
      <c r="A91" s="154"/>
      <c r="B91" s="154"/>
      <c r="C91" s="171"/>
      <c r="D91" s="154"/>
      <c r="E91" s="171"/>
      <c r="F91" s="154"/>
      <c r="G91" s="171"/>
      <c r="H91" s="154"/>
      <c r="I91" s="171"/>
      <c r="J91" s="171"/>
      <c r="K91" s="171"/>
      <c r="L91" s="171"/>
      <c r="M91" s="171"/>
      <c r="N91" s="171"/>
      <c r="O91" s="171"/>
      <c r="P91" s="171"/>
      <c r="Q91" s="221" t="e">
        <f>(E58/(((E26+E33+E40)/A91)*((E58/(E70+0.0001)))+0.83*((E15/E58)^0.333)-((E26+E33+E40)/A91)))</f>
        <v>#DIV/0!</v>
      </c>
      <c r="R91" s="127" t="e">
        <f>(((E15*(A91^3))/(12*(10^-3)*P91)))^0.25</f>
        <v>#DIV/0!</v>
      </c>
      <c r="S91" s="127" t="e">
        <f>((E15*10^3*(A91*10^-3)^3*0.08333)/(T91+(E15*10^3*(A91*10^-3)^3*0.08333)))</f>
        <v>#DIV/0!</v>
      </c>
      <c r="T91" s="127" t="e">
        <f>(D91*E52^2*300)/(48*V91)</f>
        <v>#DIV/0!</v>
      </c>
      <c r="U91" s="127" t="e">
        <f>(S91*E50*E52^2*6)/(8*(A91*10^-3)^2)</f>
        <v>#DIV/0!</v>
      </c>
      <c r="V91" s="127" t="e">
        <f>((1+(0.625*(E50+A91*10^-3*E54)*E52)/D91)^-1)</f>
        <v>#DIV/0!</v>
      </c>
      <c r="W91" s="127" t="e">
        <f>(5*E50*S91*E52^4)/(384*E15*10^3*(A91*10^-3)^3*0.08333)*10^3</f>
        <v>#DIV/0!</v>
      </c>
      <c r="X91" s="127" t="e">
        <f>(H91*E52^3)/(48*E15*10^3*(A91*10^-3)^3*0.08333)*10^3</f>
        <v>#DIV/0!</v>
      </c>
      <c r="Y91" s="128" t="e">
        <f t="shared" si="0"/>
        <v>#DIV/0!</v>
      </c>
    </row>
    <row r="92" spans="1:25" ht="13.5">
      <c r="A92" s="154"/>
      <c r="B92" s="154"/>
      <c r="C92" s="171"/>
      <c r="D92" s="154"/>
      <c r="E92" s="171"/>
      <c r="F92" s="154"/>
      <c r="G92" s="171"/>
      <c r="H92" s="154"/>
      <c r="I92" s="171"/>
      <c r="J92" s="171"/>
      <c r="K92" s="171"/>
      <c r="L92" s="171"/>
      <c r="M92" s="171"/>
      <c r="N92" s="171"/>
      <c r="O92" s="171"/>
      <c r="P92" s="171"/>
      <c r="Q92" s="221" t="e">
        <f>(E58/(((E26+E33+E40)/A92)*((E58/(E70+0.0001)))+0.83*((E15/E58)^0.333)-((E26+E33+E40)/A92)))</f>
        <v>#DIV/0!</v>
      </c>
      <c r="R92" s="127" t="e">
        <f>(((E15*(A92^3))/(12*(10^-3)*P92)))^0.25</f>
        <v>#DIV/0!</v>
      </c>
      <c r="S92" s="127" t="e">
        <f>((E15*10^3*(A92*10^-3)^3*0.08333)/(T92+(E15*10^3*(A92*10^-3)^3*0.08333)))</f>
        <v>#DIV/0!</v>
      </c>
      <c r="T92" s="127" t="e">
        <f>(D92*E52^2*300)/(48*V92)</f>
        <v>#DIV/0!</v>
      </c>
      <c r="U92" s="127" t="e">
        <f>(S92*E50*E52^2*6)/(8*(A92*10^-3)^2)</f>
        <v>#DIV/0!</v>
      </c>
      <c r="V92" s="127" t="e">
        <f>((1+(0.625*(E50+A92*10^-3*E54)*E52)/D92)^-1)</f>
        <v>#DIV/0!</v>
      </c>
      <c r="W92" s="127" t="e">
        <f>(5*E50*S92*E52^4)/(384*E15*10^3*(A92*10^-3)^3*0.08333)*10^3</f>
        <v>#DIV/0!</v>
      </c>
      <c r="X92" s="127" t="e">
        <f>(H92*E52^3)/(48*E15*10^3*(A92*10^-3)^3*0.08333)*10^3</f>
        <v>#DIV/0!</v>
      </c>
      <c r="Y92" s="128" t="e">
        <f t="shared" si="0"/>
        <v>#DIV/0!</v>
      </c>
    </row>
    <row r="93" spans="1:25" ht="13.5">
      <c r="A93" s="154"/>
      <c r="B93" s="154"/>
      <c r="C93" s="171"/>
      <c r="D93" s="154"/>
      <c r="E93" s="171"/>
      <c r="F93" s="154"/>
      <c r="G93" s="171"/>
      <c r="H93" s="154"/>
      <c r="I93" s="171"/>
      <c r="J93" s="171"/>
      <c r="K93" s="171"/>
      <c r="L93" s="171"/>
      <c r="M93" s="171"/>
      <c r="N93" s="171"/>
      <c r="O93" s="171"/>
      <c r="P93" s="171"/>
      <c r="Q93" s="221" t="e">
        <f>(E58/(((E26+E33+E40)/A93)*((E58/(E70+0.0001)))+0.83*((E15/E58)^0.333)-((E26+E33+E40)/A93)))</f>
        <v>#DIV/0!</v>
      </c>
      <c r="R93" s="127" t="e">
        <f>(((E15*(A93^3))/(12*(10^-3)*P93)))^0.25</f>
        <v>#DIV/0!</v>
      </c>
      <c r="S93" s="127" t="e">
        <f>((E15*10^3*(A93*10^-3)^3*0.08333)/(T93+(E15*10^3*(A93*10^-3)^3*0.08333)))</f>
        <v>#DIV/0!</v>
      </c>
      <c r="T93" s="127" t="e">
        <f>(D93*E52^2*300)/(48*V93)</f>
        <v>#DIV/0!</v>
      </c>
      <c r="U93" s="127" t="e">
        <f>(S93*E50*E52^2*6)/(8*(A93*10^-3)^2)</f>
        <v>#DIV/0!</v>
      </c>
      <c r="V93" s="127" t="e">
        <f>((1+(0.625*(E50+A93*10^-3*E54)*E52)/D93)^-1)</f>
        <v>#DIV/0!</v>
      </c>
      <c r="W93" s="127" t="e">
        <f>(5*E50*S93*E52^4)/(384*E15*10^3*(A93*10^-3)^3*0.08333)*10^3</f>
        <v>#DIV/0!</v>
      </c>
      <c r="X93" s="127" t="e">
        <f>(H93*E52^3)/(48*E15*10^3*(A93*10^-3)^3*0.08333)*10^3</f>
        <v>#DIV/0!</v>
      </c>
      <c r="Y93" s="128" t="e">
        <f t="shared" si="0"/>
        <v>#DIV/0!</v>
      </c>
    </row>
    <row r="94" spans="1:25" ht="13.5">
      <c r="A94" s="154"/>
      <c r="B94" s="154"/>
      <c r="C94" s="171"/>
      <c r="D94" s="154"/>
      <c r="E94" s="171"/>
      <c r="F94" s="154"/>
      <c r="G94" s="171"/>
      <c r="H94" s="154"/>
      <c r="I94" s="171"/>
      <c r="J94" s="171"/>
      <c r="K94" s="171"/>
      <c r="L94" s="171"/>
      <c r="M94" s="171"/>
      <c r="N94" s="171"/>
      <c r="O94" s="171"/>
      <c r="P94" s="171"/>
      <c r="Q94" s="221" t="e">
        <f>(E58/(((E26+E33+E40)/A94)*((E58/(E70+0.0001)))+0.83*((E15/E58)^0.333)-((E26+E33+E40)/A94)))</f>
        <v>#DIV/0!</v>
      </c>
      <c r="R94" s="127" t="e">
        <f>(((E15*(A94^3))/(12*(10^-3)*P94)))^0.25</f>
        <v>#DIV/0!</v>
      </c>
      <c r="S94" s="127" t="e">
        <f>((E15*10^3*(A94*10^-3)^3*0.08333)/(T94+(E15*10^3*(A94*10^-3)^3*0.08333)))</f>
        <v>#DIV/0!</v>
      </c>
      <c r="T94" s="127" t="e">
        <f>(D94*E52^2*300)/(48*V94)</f>
        <v>#DIV/0!</v>
      </c>
      <c r="U94" s="127" t="e">
        <f>(S94*E50*E52^2*6)/(8*(A94*10^-3)^2)</f>
        <v>#DIV/0!</v>
      </c>
      <c r="V94" s="127" t="e">
        <f>((1+(0.625*(E50+A94*10^-3*E54)*E52)/D94)^-1)</f>
        <v>#DIV/0!</v>
      </c>
      <c r="W94" s="127" t="e">
        <f>(5*E50*S94*E52^4)/(384*E15*10^3*(A94*10^-3)^3*0.08333)*10^3</f>
        <v>#DIV/0!</v>
      </c>
      <c r="X94" s="127" t="e">
        <f>(H94*E52^3)/(48*E15*10^3*(A94*10^-3)^3*0.08333)*10^3</f>
        <v>#DIV/0!</v>
      </c>
      <c r="Y94" s="128" t="e">
        <f t="shared" si="0"/>
        <v>#DIV/0!</v>
      </c>
    </row>
    <row r="95" spans="1:25" ht="13.5">
      <c r="A95" s="154"/>
      <c r="B95" s="154"/>
      <c r="C95" s="171"/>
      <c r="D95" s="154"/>
      <c r="E95" s="171"/>
      <c r="F95" s="154"/>
      <c r="G95" s="171"/>
      <c r="H95" s="154"/>
      <c r="I95" s="171"/>
      <c r="J95" s="171"/>
      <c r="K95" s="171"/>
      <c r="L95" s="171"/>
      <c r="M95" s="171"/>
      <c r="N95" s="171"/>
      <c r="O95" s="171"/>
      <c r="P95" s="171"/>
      <c r="Q95" s="221" t="e">
        <f>(E58/(((E26+E33+E40)/A95)*((E58/(E70+0.0001)))+0.83*((E15/E58)^0.333)-((E26+E33+E40)/A95)))</f>
        <v>#DIV/0!</v>
      </c>
      <c r="R95" s="127" t="e">
        <f>(((E15*(A95^3))/(12*(10^-3)*P95)))^0.25</f>
        <v>#DIV/0!</v>
      </c>
      <c r="S95" s="127" t="e">
        <f>((E15*10^3*(A95*10^-3)^3*0.08333)/(T95+(E15*10^3*(A95*10^-3)^3*0.08333)))</f>
        <v>#DIV/0!</v>
      </c>
      <c r="T95" s="127" t="e">
        <f>(D95*E52^2*300)/(48*V95)</f>
        <v>#DIV/0!</v>
      </c>
      <c r="U95" s="127" t="e">
        <f>(S95*E50*E52^2*6)/(8*(A95*10^-3)^2)</f>
        <v>#DIV/0!</v>
      </c>
      <c r="V95" s="127" t="e">
        <f>((1+(0.625*(E50+A95*10^-3*E54)*E52)/D95)^-1)</f>
        <v>#DIV/0!</v>
      </c>
      <c r="W95" s="127" t="e">
        <f>(5*E50*S95*E52^4)/(384*E15*10^3*(A95*10^-3)^3*0.08333)*10^3</f>
        <v>#DIV/0!</v>
      </c>
      <c r="X95" s="127" t="e">
        <f>(H95*E52^3)/(48*E15*10^3*(A95*10^-3)^3*0.08333)*10^3</f>
        <v>#DIV/0!</v>
      </c>
      <c r="Y95" s="128" t="e">
        <f t="shared" si="0"/>
        <v>#DIV/0!</v>
      </c>
    </row>
    <row r="96" spans="1:25" ht="13.5">
      <c r="A96" s="154"/>
      <c r="B96" s="154"/>
      <c r="C96" s="171"/>
      <c r="D96" s="154"/>
      <c r="E96" s="171"/>
      <c r="F96" s="154"/>
      <c r="G96" s="171"/>
      <c r="H96" s="154"/>
      <c r="I96" s="171"/>
      <c r="J96" s="171"/>
      <c r="K96" s="171"/>
      <c r="L96" s="171"/>
      <c r="M96" s="171"/>
      <c r="N96" s="171"/>
      <c r="O96" s="171"/>
      <c r="P96" s="171"/>
      <c r="Q96" s="221" t="e">
        <f>(E58/(((E26+E33+E40)/A96)*((E58/(E70+0.0001)))+0.83*((E15/E58)^0.333)-((E26+E33+E40)/A96)))</f>
        <v>#DIV/0!</v>
      </c>
      <c r="R96" s="127" t="e">
        <f>(((E15*(A96^3))/(12*(10^-3)*P96)))^0.25</f>
        <v>#DIV/0!</v>
      </c>
      <c r="S96" s="127" t="e">
        <f>((E15*10^3*(A96*10^-3)^3*0.08333)/(T96+(E15*10^3*(A96*10^-3)^3*0.08333)))</f>
        <v>#DIV/0!</v>
      </c>
      <c r="T96" s="127" t="e">
        <f>(D96*E52^2*300)/(48*V96)</f>
        <v>#DIV/0!</v>
      </c>
      <c r="U96" s="127" t="e">
        <f>(S96*E50*E52^2*6)/(8*(A96*10^-3)^2)</f>
        <v>#DIV/0!</v>
      </c>
      <c r="V96" s="127" t="e">
        <f>((1+(0.625*(E50+A96*10^-3*E54)*E52)/D96)^-1)</f>
        <v>#DIV/0!</v>
      </c>
      <c r="W96" s="127" t="e">
        <f>(5*E50*S96*E52^4)/(384*E15*10^3*(A96*10^-3)^3*0.08333)*10^3</f>
        <v>#DIV/0!</v>
      </c>
      <c r="X96" s="127" t="e">
        <f>(H96*E52^3)/(48*E15*10^3*(A96*10^-3)^3*0.08333)*10^3</f>
        <v>#DIV/0!</v>
      </c>
      <c r="Y96" s="128" t="e">
        <f t="shared" si="0"/>
        <v>#DIV/0!</v>
      </c>
    </row>
    <row r="97" spans="1:25" ht="14.25" thickBot="1">
      <c r="A97" s="154"/>
      <c r="B97" s="154"/>
      <c r="C97" s="171"/>
      <c r="D97" s="154"/>
      <c r="E97" s="171"/>
      <c r="F97" s="154"/>
      <c r="G97" s="171"/>
      <c r="H97" s="154"/>
      <c r="I97" s="171"/>
      <c r="J97" s="171"/>
      <c r="K97" s="171"/>
      <c r="L97" s="171"/>
      <c r="M97" s="171"/>
      <c r="N97" s="171"/>
      <c r="O97" s="171"/>
      <c r="P97" s="171"/>
      <c r="Q97" s="221" t="e">
        <f>(E58/(((E26+E33+E40)/A97)*((E58/(E70+0.0001)))+0.83*((E15/E58)^0.333)-((E26+E33+E40)/A97)))</f>
        <v>#DIV/0!</v>
      </c>
      <c r="R97" s="127" t="e">
        <f>(((E15*(A97^3))/(12*(10^-3)*P97)))^0.25</f>
        <v>#DIV/0!</v>
      </c>
      <c r="S97" s="127" t="e">
        <f>((E15*10^3*(A97*10^-3)^3*0.08333)/(T97+(E15*10^3*(A97*10^-3)^3*0.08333)))</f>
        <v>#DIV/0!</v>
      </c>
      <c r="T97" s="127" t="e">
        <f>(D97*E52^2*300)/(48*V97)</f>
        <v>#DIV/0!</v>
      </c>
      <c r="U97" s="127" t="e">
        <f>(S97*E50*E52^2*6)/(8*(A97*10^-3)^2)</f>
        <v>#DIV/0!</v>
      </c>
      <c r="V97" s="127" t="e">
        <f>((1+(0.625*(E50+A97*10^-3*E54)*E52)/D97)^-1)</f>
        <v>#DIV/0!</v>
      </c>
      <c r="W97" s="127" t="e">
        <f>(5*E50*S97*E52^4)/(384*E15*10^3*(A97*10^-3)^3*0.08333)*10^3</f>
        <v>#DIV/0!</v>
      </c>
      <c r="X97" s="127" t="e">
        <f>(H97*E52^3)/(48*E15*10^3*(A97*10^-3)^3*0.08333)*10^3</f>
        <v>#DIV/0!</v>
      </c>
      <c r="Y97" s="128" t="e">
        <f t="shared" si="0"/>
        <v>#DIV/0!</v>
      </c>
    </row>
    <row r="98" spans="1:25" ht="13.5">
      <c r="A98" s="154"/>
      <c r="B98" s="154"/>
      <c r="C98" s="171"/>
      <c r="D98" s="154"/>
      <c r="E98" s="171"/>
      <c r="F98" s="154"/>
      <c r="G98" s="171"/>
      <c r="H98" s="154"/>
      <c r="I98" s="171"/>
      <c r="J98" s="171"/>
      <c r="K98" s="171"/>
      <c r="L98" s="171"/>
      <c r="M98" s="171"/>
      <c r="N98" s="171"/>
      <c r="O98" s="171"/>
      <c r="P98" s="171"/>
      <c r="Q98" s="222" t="e">
        <f>(E58/(((E26+E33+E40)/A98)*((E58/(E70+0.0001)))+0.83*((E15/E58)^0.333)-((E26+E33+E40)/A98)))</f>
        <v>#DIV/0!</v>
      </c>
      <c r="R98" s="170" t="e">
        <f>(((E15*(A98^3))/(12*(10^-3)*P98)))^0.25</f>
        <v>#DIV/0!</v>
      </c>
      <c r="S98" s="170" t="e">
        <f>((E15*10^3*(A98*10^-3)^3*0.08333)/(T98+(E15*10^3*(A98*10^-3)^3*0.08333)))</f>
        <v>#DIV/0!</v>
      </c>
      <c r="T98" s="170" t="e">
        <f>(D98*E52^2*300)/(48*V98)</f>
        <v>#DIV/0!</v>
      </c>
      <c r="U98" s="170" t="e">
        <f>(S98*E50*E52^2*6)/(8*(A98*10^-3)^2)</f>
        <v>#DIV/0!</v>
      </c>
      <c r="V98" s="170" t="e">
        <f>((1+(0.625*(E50+A98*10^-3*E54)*E52)/D98)^-1)</f>
        <v>#DIV/0!</v>
      </c>
      <c r="W98" s="170" t="e">
        <f>(5*E50*S98*E52^4)/(384*E15*10^3*(A98*10^-3)^3*0.08333)*10^3</f>
        <v>#DIV/0!</v>
      </c>
      <c r="X98" s="170" t="e">
        <f>(H98*E52^3)/(48*E15*10^3*(A98*10^-3)^3*0.08333)*10^3</f>
        <v>#DIV/0!</v>
      </c>
      <c r="Y98" s="172" t="e">
        <f t="shared" si="0"/>
        <v>#DIV/0!</v>
      </c>
    </row>
    <row r="99" spans="1:25" ht="13.5">
      <c r="A99" s="154"/>
      <c r="B99" s="154"/>
      <c r="C99" s="171"/>
      <c r="D99" s="154"/>
      <c r="E99" s="171"/>
      <c r="F99" s="154"/>
      <c r="G99" s="171"/>
      <c r="H99" s="154"/>
      <c r="I99" s="171"/>
      <c r="J99" s="171"/>
      <c r="K99" s="171"/>
      <c r="L99" s="171"/>
      <c r="M99" s="171"/>
      <c r="N99" s="171"/>
      <c r="O99" s="171"/>
      <c r="P99" s="171"/>
      <c r="Q99" s="221" t="e">
        <f>(E58/(((E26+E33+E40)/A99)*((E58/(E70+0.0001)))+0.83*((E15/E58)^0.333)-((E26+E33+E40)/A99)))</f>
        <v>#DIV/0!</v>
      </c>
      <c r="R99" s="127" t="e">
        <f>(((E15*(A99^3))/(12*(10^-3)*P99)))^0.25</f>
        <v>#DIV/0!</v>
      </c>
      <c r="S99" s="127" t="e">
        <f>((E15*10^3*(A99*10^-3)^3*0.08333)/(T99+(E15*10^3*(A99*10^-3)^3*0.08333)))</f>
        <v>#DIV/0!</v>
      </c>
      <c r="T99" s="127" t="e">
        <f>(D99*E52^2*300)/(48*V99)</f>
        <v>#DIV/0!</v>
      </c>
      <c r="U99" s="127" t="e">
        <f>(S99*E50*E52^2*6)/(8*(A99*10^-3)^2)</f>
        <v>#DIV/0!</v>
      </c>
      <c r="V99" s="127" t="e">
        <f>((1+(0.625*(E50+A99*10^-3*E54)*E52)/D99)^-1)</f>
        <v>#DIV/0!</v>
      </c>
      <c r="W99" s="127" t="e">
        <f>(5*E50*S99*E52^4)/(384*E15*10^3*(A99*10^-3)^3*0.08333)*10^3</f>
        <v>#DIV/0!</v>
      </c>
      <c r="X99" s="127" t="e">
        <f>(H99*E52^3)/(48*E15*10^3*(A99*10^-3)^3*0.08333)*10^3</f>
        <v>#DIV/0!</v>
      </c>
      <c r="Y99" s="128" t="e">
        <f t="shared" si="0"/>
        <v>#DIV/0!</v>
      </c>
    </row>
    <row r="100" spans="1:25" ht="13.5">
      <c r="A100" s="154"/>
      <c r="B100" s="154"/>
      <c r="C100" s="171"/>
      <c r="D100" s="154"/>
      <c r="E100" s="171"/>
      <c r="F100" s="154"/>
      <c r="G100" s="171"/>
      <c r="H100" s="154"/>
      <c r="I100" s="171"/>
      <c r="J100" s="171"/>
      <c r="K100" s="171"/>
      <c r="L100" s="171"/>
      <c r="M100" s="171"/>
      <c r="N100" s="171"/>
      <c r="O100" s="171"/>
      <c r="P100" s="171"/>
      <c r="Q100" s="221" t="e">
        <f>(E58/(((E26+E33+E40)/A100)*((E58/(E70+0.0001)))+0.83*((E15/E58)^0.333)-((E26+E33+E40)/A100)))</f>
        <v>#DIV/0!</v>
      </c>
      <c r="R100" s="127" t="e">
        <f>(((E15*(A100^3))/(12*(10^-3)*P100)))^0.25</f>
        <v>#DIV/0!</v>
      </c>
      <c r="S100" s="127" t="e">
        <f>((E15*10^3*(A100*10^-3)^3*0.08333)/(T100+(E15*10^3*(A100*10^-3)^3*0.08333)))</f>
        <v>#DIV/0!</v>
      </c>
      <c r="T100" s="127" t="e">
        <f>(D100*E52^2*300)/(48*V100)</f>
        <v>#DIV/0!</v>
      </c>
      <c r="U100" s="127" t="e">
        <f>(S100*E50*E52^2*6)/(8*(A100*10^-3)^2)</f>
        <v>#DIV/0!</v>
      </c>
      <c r="V100" s="127" t="e">
        <f>((1+(0.625*(E50+A100*10^-3*E54)*E52)/D100)^-1)</f>
        <v>#DIV/0!</v>
      </c>
      <c r="W100" s="127" t="e">
        <f>(5*E50*S100*E52^4)/(384*E15*10^3*(A100*10^-3)^3*0.08333)*10^3</f>
        <v>#DIV/0!</v>
      </c>
      <c r="X100" s="127" t="e">
        <f>(H100*E52^3)/(48*E15*10^3*(A100*10^-3)^3*0.08333)*10^3</f>
        <v>#DIV/0!</v>
      </c>
      <c r="Y100" s="128" t="e">
        <f t="shared" si="0"/>
        <v>#DIV/0!</v>
      </c>
    </row>
    <row r="101" spans="1:25" ht="13.5">
      <c r="A101" s="154"/>
      <c r="B101" s="154"/>
      <c r="C101" s="171"/>
      <c r="D101" s="154"/>
      <c r="E101" s="171"/>
      <c r="F101" s="154"/>
      <c r="G101" s="171"/>
      <c r="H101" s="154"/>
      <c r="I101" s="171"/>
      <c r="J101" s="171"/>
      <c r="K101" s="171"/>
      <c r="L101" s="171"/>
      <c r="M101" s="171"/>
      <c r="N101" s="171"/>
      <c r="O101" s="171"/>
      <c r="P101" s="171"/>
      <c r="Q101" s="221" t="e">
        <f>(E58/(((E26+E33+E40)/A101)*((E58/(E70+0.0001)))+0.83*((E15/E58)^0.333)-((E26+E33+E40)/A101)))</f>
        <v>#DIV/0!</v>
      </c>
      <c r="R101" s="127" t="e">
        <f>(((E15*(A101^3))/(12*(10^-3)*P101)))^0.25</f>
        <v>#DIV/0!</v>
      </c>
      <c r="S101" s="127" t="e">
        <f>((E15*10^3*(A101*10^-3)^3*0.08333)/(T101+(E15*10^3*(A101*10^-3)^3*0.08333)))</f>
        <v>#DIV/0!</v>
      </c>
      <c r="T101" s="127" t="e">
        <f>(D101*E52^2*300)/(48*V101)</f>
        <v>#DIV/0!</v>
      </c>
      <c r="U101" s="127" t="e">
        <f>(S101*E50*E52^2*6)/(8*(A101*10^-3)^2)</f>
        <v>#DIV/0!</v>
      </c>
      <c r="V101" s="127" t="e">
        <f>((1+(0.625*(E50+A101*10^-3*E54)*E52)/D101)^-1)</f>
        <v>#DIV/0!</v>
      </c>
      <c r="W101" s="127" t="e">
        <f>(5*E50*S101*E52^4)/(384*E15*10^3*(A101*10^-3)^3*0.08333)*10^3</f>
        <v>#DIV/0!</v>
      </c>
      <c r="X101" s="127" t="e">
        <f>(H101*E52^3)/(48*E15*10^3*(A101*10^-3)^3*0.08333)*10^3</f>
        <v>#DIV/0!</v>
      </c>
      <c r="Y101" s="128" t="e">
        <f t="shared" si="0"/>
        <v>#DIV/0!</v>
      </c>
    </row>
    <row r="102" spans="1:25" ht="13.5">
      <c r="A102" s="154"/>
      <c r="B102" s="154"/>
      <c r="C102" s="171"/>
      <c r="D102" s="154"/>
      <c r="E102" s="171"/>
      <c r="F102" s="154"/>
      <c r="G102" s="171"/>
      <c r="H102" s="154"/>
      <c r="I102" s="171"/>
      <c r="J102" s="171"/>
      <c r="K102" s="171"/>
      <c r="L102" s="171"/>
      <c r="M102" s="171"/>
      <c r="N102" s="171"/>
      <c r="O102" s="171"/>
      <c r="P102" s="171"/>
      <c r="Q102" s="221" t="e">
        <f>(E58/(((E26+E33+E40)/A102)*((E58/(E70+0.0001)))+0.83*((E15/E58)^0.333)-((E26+E33+E40)/A102)))</f>
        <v>#DIV/0!</v>
      </c>
      <c r="R102" s="127" t="e">
        <f>(((E15*(A102^3))/(12*(10^-3)*P102)))^0.25</f>
        <v>#DIV/0!</v>
      </c>
      <c r="S102" s="127" t="e">
        <f>((E15*10^3*(A102*10^-3)^3*0.08333)/(T102+(E15*10^3*(A102*10^-3)^3*0.08333)))</f>
        <v>#DIV/0!</v>
      </c>
      <c r="T102" s="127" t="e">
        <f>(D102*E52^2*300)/(48*V102)</f>
        <v>#DIV/0!</v>
      </c>
      <c r="U102" s="127" t="e">
        <f>(S102*E50*E52^2*6)/(8*(A102*10^-3)^2)</f>
        <v>#DIV/0!</v>
      </c>
      <c r="V102" s="127" t="e">
        <f>((1+(0.625*(E50+A102*10^-3*E54)*E52)/D102)^-1)</f>
        <v>#DIV/0!</v>
      </c>
      <c r="W102" s="127" t="e">
        <f>(5*E50*S102*E52^4)/(384*E15*10^3*(A102*10^-3)^3*0.08333)*10^3</f>
        <v>#DIV/0!</v>
      </c>
      <c r="X102" s="127" t="e">
        <f>(H102*E52^3)/(48*E15*10^3*(A102*10^-3)^3*0.08333)*10^3</f>
        <v>#DIV/0!</v>
      </c>
      <c r="Y102" s="128" t="e">
        <f t="shared" si="0"/>
        <v>#DIV/0!</v>
      </c>
    </row>
    <row r="103" spans="1:25" ht="13.5">
      <c r="A103" s="154"/>
      <c r="B103" s="154"/>
      <c r="C103" s="171"/>
      <c r="D103" s="154"/>
      <c r="E103" s="171"/>
      <c r="F103" s="154"/>
      <c r="G103" s="171"/>
      <c r="H103" s="154"/>
      <c r="I103" s="171"/>
      <c r="J103" s="171"/>
      <c r="K103" s="171"/>
      <c r="L103" s="171"/>
      <c r="M103" s="171"/>
      <c r="N103" s="171"/>
      <c r="O103" s="171"/>
      <c r="P103" s="171"/>
      <c r="Q103" s="221" t="e">
        <f>(E58/(((E26+E33+E40)/A103)*((E58/(E70+0.0001)))+0.83*((E15/E58)^0.333)-((E26+E33+E40)/A103)))</f>
        <v>#DIV/0!</v>
      </c>
      <c r="R103" s="127" t="e">
        <f>(((E15*(A103^3))/(12*(10^-3)*P103)))^0.25</f>
        <v>#DIV/0!</v>
      </c>
      <c r="S103" s="127" t="e">
        <f>((E15*10^3*(A103*10^-3)^3*0.08333)/(T103+(E15*10^3*(A103*10^-3)^3*0.08333)))</f>
        <v>#DIV/0!</v>
      </c>
      <c r="T103" s="127" t="e">
        <f>(D103*E52^2*300)/(48*V103)</f>
        <v>#DIV/0!</v>
      </c>
      <c r="U103" s="127" t="e">
        <f>(S103*E50*E52^2*6)/(8*(A103*10^-3)^2)</f>
        <v>#DIV/0!</v>
      </c>
      <c r="V103" s="127" t="e">
        <f>((1+(0.625*(E50+A103*10^-3*E54)*E52)/D103)^-1)</f>
        <v>#DIV/0!</v>
      </c>
      <c r="W103" s="127" t="e">
        <f>(5*E50*S103*E52^4)/(384*E15*10^3*(A103*10^-3)^3*0.08333)*10^3</f>
        <v>#DIV/0!</v>
      </c>
      <c r="X103" s="127" t="e">
        <f>(H103*E52^3)/(48*E15*10^3*(A103*10^-3)^3*0.08333)*10^3</f>
        <v>#DIV/0!</v>
      </c>
      <c r="Y103" s="128" t="e">
        <f t="shared" si="0"/>
        <v>#DIV/0!</v>
      </c>
    </row>
    <row r="104" spans="1:25" ht="13.5">
      <c r="A104" s="154"/>
      <c r="B104" s="154"/>
      <c r="C104" s="171"/>
      <c r="D104" s="154"/>
      <c r="E104" s="171"/>
      <c r="F104" s="154"/>
      <c r="G104" s="171"/>
      <c r="H104" s="154"/>
      <c r="I104" s="171"/>
      <c r="J104" s="171"/>
      <c r="K104" s="171"/>
      <c r="L104" s="171"/>
      <c r="M104" s="171"/>
      <c r="N104" s="171"/>
      <c r="O104" s="171"/>
      <c r="P104" s="171"/>
      <c r="Q104" s="221" t="e">
        <f>(E58/(((E26+E33+E40)/A104)*((E58/(E70+0.0001)))+0.83*((E15/E58)^0.333)-((E26+E33+E40)/A104)))</f>
        <v>#DIV/0!</v>
      </c>
      <c r="R104" s="127" t="e">
        <f>(((E15*(A104^3))/(12*(10^-3)*P104)))^0.25</f>
        <v>#DIV/0!</v>
      </c>
      <c r="S104" s="127" t="e">
        <f>((E15*10^3*(A104*10^-3)^3*0.08333)/(T104+(E15*10^3*(A104*10^-3)^3*0.08333)))</f>
        <v>#DIV/0!</v>
      </c>
      <c r="T104" s="127" t="e">
        <f>(D104*E52^2*300)/(48*V104)</f>
        <v>#DIV/0!</v>
      </c>
      <c r="U104" s="127" t="e">
        <f>(S104*E50*E52^2*6)/(8*(A104*10^-3)^2)</f>
        <v>#DIV/0!</v>
      </c>
      <c r="V104" s="127" t="e">
        <f>((1+(0.625*(E50+A104*10^-3*E54)*E52)/D104)^-1)</f>
        <v>#DIV/0!</v>
      </c>
      <c r="W104" s="127" t="e">
        <f>(5*E50*S104*E52^4)/(384*E15*10^3*(A104*10^-3)^3*0.08333)*10^3</f>
        <v>#DIV/0!</v>
      </c>
      <c r="X104" s="127" t="e">
        <f>(H104*E52^3)/(48*E15*10^3*(A104*10^-3)^3*0.08333)*10^3</f>
        <v>#DIV/0!</v>
      </c>
      <c r="Y104" s="128" t="e">
        <f t="shared" si="0"/>
        <v>#DIV/0!</v>
      </c>
    </row>
    <row r="105" spans="1:25" ht="14.25" thickBot="1">
      <c r="A105" s="154"/>
      <c r="B105" s="154"/>
      <c r="C105" s="171"/>
      <c r="D105" s="154"/>
      <c r="E105" s="171"/>
      <c r="F105" s="154"/>
      <c r="G105" s="171"/>
      <c r="H105" s="154"/>
      <c r="I105" s="171"/>
      <c r="J105" s="171"/>
      <c r="K105" s="171"/>
      <c r="L105" s="171"/>
      <c r="M105" s="171"/>
      <c r="N105" s="171"/>
      <c r="O105" s="171"/>
      <c r="P105" s="171"/>
      <c r="Q105" s="221" t="e">
        <f>(E58/(((E26+E33+E40)/A105)*((E58/(E70+0.0001)))+0.83*((E15/E58)^0.333)-((E26+E33+E40)/A105)))</f>
        <v>#DIV/0!</v>
      </c>
      <c r="R105" s="138" t="e">
        <f>(((E15*(A105^3))/(12*(10^-3)*P105)))^0.25</f>
        <v>#DIV/0!</v>
      </c>
      <c r="S105" s="138" t="e">
        <f>((E15*10^3*(A105*10^-3)^3*0.08333)/(T105+(E15*10^3*(A105*10^-3)^3*0.08333)))</f>
        <v>#DIV/0!</v>
      </c>
      <c r="T105" s="138" t="e">
        <f>(D105*E52^2*300)/(48*V105)</f>
        <v>#DIV/0!</v>
      </c>
      <c r="U105" s="127" t="e">
        <f>(S105*E50*E52^2*6)/(8*(A105*10^-3)^2)</f>
        <v>#DIV/0!</v>
      </c>
      <c r="V105" s="138" t="e">
        <f>((1+(0.625*(E50+A105*10^-3*E54)*E52)/D105)^-1)</f>
        <v>#DIV/0!</v>
      </c>
      <c r="W105" s="138" t="e">
        <f>(5*E50*S105*E52^4)/(384*E15*10^3*(A105*10^-3)^3*0.08333)*10^3</f>
        <v>#DIV/0!</v>
      </c>
      <c r="X105" s="138" t="e">
        <f>(H105*E52^3)/(48*E15*10^3*(A105*10^-3)^3*0.08333)*10^3</f>
        <v>#DIV/0!</v>
      </c>
      <c r="Y105" s="139" t="e">
        <f>(H105/D105)*E105</f>
        <v>#DIV/0!</v>
      </c>
    </row>
    <row r="106" spans="1:25" ht="13.5" thickTop="1">
      <c r="A106" s="242"/>
      <c r="B106" s="101"/>
      <c r="C106" s="101"/>
      <c r="D106" s="101"/>
      <c r="E106" s="101"/>
      <c r="F106" s="101"/>
      <c r="G106" s="90"/>
      <c r="H106" s="243"/>
      <c r="I106" s="243"/>
      <c r="J106" s="243"/>
      <c r="K106" s="101"/>
      <c r="L106" s="101"/>
      <c r="M106" s="101"/>
      <c r="N106" s="101"/>
      <c r="O106" s="21"/>
      <c r="P106" s="244"/>
      <c r="Q106" s="147"/>
      <c r="R106" s="147"/>
      <c r="U106" s="148" t="e">
        <f>(V106+W106*X106)^1</f>
        <v>#DIV/0!</v>
      </c>
      <c r="V106" s="150">
        <f>(E56/31416)</f>
        <v>0</v>
      </c>
      <c r="W106" s="150">
        <f>((31416-E56)/31416)</f>
        <v>1</v>
      </c>
      <c r="X106" s="150" t="e">
        <f>(1-((4*(100^3-0.1795*Z80^1.5))/(2*9*Y106*(100^2-0.318*Z80))))^2</f>
        <v>#DIV/0!</v>
      </c>
      <c r="Y106" s="150" t="e">
        <f>((E15*A80^3)/(12*P80*10^-3))^0.25</f>
        <v>#DIV/0!</v>
      </c>
    </row>
    <row r="107" spans="1:25" ht="12.75">
      <c r="A107" s="104"/>
      <c r="B107" s="21"/>
      <c r="C107" s="21"/>
      <c r="D107" s="21"/>
      <c r="E107" s="21"/>
      <c r="F107" s="21"/>
      <c r="G107" s="21"/>
      <c r="H107" s="245"/>
      <c r="I107" s="245"/>
      <c r="J107" s="245"/>
      <c r="K107" s="21"/>
      <c r="L107" s="21"/>
      <c r="M107" s="21"/>
      <c r="N107" s="21"/>
      <c r="O107" s="21"/>
      <c r="P107" s="21"/>
      <c r="Q107" s="11"/>
      <c r="R107" s="11"/>
      <c r="S107" s="47"/>
      <c r="U107" s="149"/>
      <c r="V107" s="149"/>
      <c r="W107" s="149"/>
      <c r="X107" s="149"/>
      <c r="Y107" s="149"/>
    </row>
    <row r="108" spans="1:17" ht="13.5">
      <c r="A108" s="246"/>
      <c r="B108" s="223"/>
      <c r="C108" s="223"/>
      <c r="D108" s="223"/>
      <c r="E108" s="223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1"/>
    </row>
    <row r="109" spans="1:24" ht="13.5">
      <c r="A109" s="104"/>
      <c r="B109" s="28"/>
      <c r="C109" s="21"/>
      <c r="D109" s="21"/>
      <c r="E109" s="21"/>
      <c r="F109" s="21"/>
      <c r="G109" s="21"/>
      <c r="H109" s="21"/>
      <c r="I109" s="21"/>
      <c r="J109" s="28"/>
      <c r="K109" s="21"/>
      <c r="L109" s="21"/>
      <c r="M109" s="21"/>
      <c r="N109" s="21"/>
      <c r="O109" s="21"/>
      <c r="P109" s="21"/>
      <c r="Q109" s="11"/>
      <c r="U109" s="11"/>
      <c r="V109" s="20"/>
      <c r="W109" s="20"/>
      <c r="X109" s="20"/>
    </row>
    <row r="110" spans="1:17" ht="13.5">
      <c r="A110" s="28"/>
      <c r="B110" s="28"/>
      <c r="C110" s="154"/>
      <c r="D110" s="154"/>
      <c r="E110" s="21"/>
      <c r="F110" s="21"/>
      <c r="G110" s="90"/>
      <c r="H110" s="21"/>
      <c r="I110" s="21"/>
      <c r="J110" s="28"/>
      <c r="K110" s="28"/>
      <c r="L110" s="28"/>
      <c r="M110" s="28"/>
      <c r="N110" s="89"/>
      <c r="O110" s="90"/>
      <c r="P110" s="21"/>
      <c r="Q110" s="11"/>
    </row>
    <row r="111" spans="1:17" ht="12.75">
      <c r="A111" s="21"/>
      <c r="B111" s="90"/>
      <c r="C111" s="90"/>
      <c r="D111" s="90"/>
      <c r="E111" s="21"/>
      <c r="F111" s="21"/>
      <c r="G111" s="90"/>
      <c r="H111" s="21"/>
      <c r="I111" s="21"/>
      <c r="J111" s="21"/>
      <c r="K111" s="90"/>
      <c r="L111" s="21"/>
      <c r="M111" s="90"/>
      <c r="N111" s="90"/>
      <c r="O111" s="90"/>
      <c r="P111" s="21"/>
      <c r="Q111" s="11"/>
    </row>
    <row r="112" spans="1:17" ht="12.75">
      <c r="A112" s="90"/>
      <c r="B112" s="90"/>
      <c r="C112" s="90"/>
      <c r="D112" s="90"/>
      <c r="E112" s="21"/>
      <c r="F112" s="90"/>
      <c r="G112" s="90"/>
      <c r="H112" s="21"/>
      <c r="I112" s="21"/>
      <c r="J112" s="90"/>
      <c r="K112" s="90"/>
      <c r="L112" s="90"/>
      <c r="M112" s="90"/>
      <c r="N112" s="90"/>
      <c r="O112" s="90"/>
      <c r="P112" s="21"/>
      <c r="Q112" s="11"/>
    </row>
    <row r="113" spans="1:17" ht="12.75">
      <c r="A113" s="91"/>
      <c r="B113" s="90"/>
      <c r="C113" s="90"/>
      <c r="D113" s="90"/>
      <c r="E113" s="21"/>
      <c r="F113" s="90"/>
      <c r="G113" s="21"/>
      <c r="H113" s="21"/>
      <c r="I113" s="21"/>
      <c r="J113" s="90"/>
      <c r="K113" s="90"/>
      <c r="L113" s="90"/>
      <c r="M113" s="90"/>
      <c r="N113" s="21"/>
      <c r="O113" s="21"/>
      <c r="P113" s="21"/>
      <c r="Q113" s="11"/>
    </row>
    <row r="114" spans="1:17" ht="12.75">
      <c r="A114" s="91"/>
      <c r="B114" s="90"/>
      <c r="C114" s="90"/>
      <c r="D114" s="90"/>
      <c r="E114" s="21"/>
      <c r="F114" s="90"/>
      <c r="G114" s="90"/>
      <c r="H114" s="21"/>
      <c r="I114" s="21"/>
      <c r="J114" s="90"/>
      <c r="K114" s="90"/>
      <c r="L114" s="90"/>
      <c r="M114" s="90"/>
      <c r="N114" s="90"/>
      <c r="O114" s="90"/>
      <c r="P114" s="21"/>
      <c r="Q114" s="11"/>
    </row>
    <row r="115" spans="1:17" ht="12.75">
      <c r="A115" s="91"/>
      <c r="B115" s="90"/>
      <c r="C115" s="90"/>
      <c r="D115" s="90"/>
      <c r="E115" s="21"/>
      <c r="F115" s="90"/>
      <c r="G115" s="90"/>
      <c r="H115" s="21"/>
      <c r="I115" s="21"/>
      <c r="J115" s="90"/>
      <c r="K115" s="90"/>
      <c r="L115" s="90"/>
      <c r="M115" s="90"/>
      <c r="N115" s="90"/>
      <c r="O115" s="90"/>
      <c r="P115" s="21"/>
      <c r="Q115" s="11"/>
    </row>
    <row r="116" spans="1:17" ht="12.75">
      <c r="A116" s="91"/>
      <c r="B116" s="90"/>
      <c r="C116" s="90"/>
      <c r="D116" s="90"/>
      <c r="E116" s="21"/>
      <c r="F116" s="90"/>
      <c r="G116" s="90"/>
      <c r="H116" s="21"/>
      <c r="I116" s="21"/>
      <c r="J116" s="90"/>
      <c r="K116" s="90"/>
      <c r="L116" s="90"/>
      <c r="M116" s="90"/>
      <c r="N116" s="90"/>
      <c r="O116" s="90"/>
      <c r="P116" s="21"/>
      <c r="Q116" s="11"/>
    </row>
    <row r="117" spans="1:17" ht="12.75">
      <c r="A117" s="91"/>
      <c r="B117" s="90"/>
      <c r="C117" s="90"/>
      <c r="D117" s="90"/>
      <c r="E117" s="21"/>
      <c r="F117" s="91"/>
      <c r="G117" s="90"/>
      <c r="H117" s="21"/>
      <c r="I117" s="21"/>
      <c r="J117" s="90"/>
      <c r="K117" s="90"/>
      <c r="L117" s="90"/>
      <c r="M117" s="90"/>
      <c r="N117" s="90"/>
      <c r="O117" s="90"/>
      <c r="P117" s="21"/>
      <c r="Q117" s="11"/>
    </row>
    <row r="118" spans="1:17" ht="12.75">
      <c r="A118" s="91"/>
      <c r="B118" s="90"/>
      <c r="C118" s="90"/>
      <c r="D118" s="90"/>
      <c r="E118" s="21"/>
      <c r="F118" s="90"/>
      <c r="G118" s="90"/>
      <c r="H118" s="21"/>
      <c r="I118" s="21"/>
      <c r="J118" s="90"/>
      <c r="K118" s="90"/>
      <c r="L118" s="90"/>
      <c r="M118" s="90"/>
      <c r="N118" s="90"/>
      <c r="O118" s="90"/>
      <c r="P118" s="21"/>
      <c r="Q118" s="11"/>
    </row>
    <row r="119" spans="1:17" ht="12.75">
      <c r="A119" s="91"/>
      <c r="B119" s="90"/>
      <c r="C119" s="90"/>
      <c r="D119" s="90"/>
      <c r="E119" s="21"/>
      <c r="F119" s="90"/>
      <c r="G119" s="90"/>
      <c r="H119" s="21"/>
      <c r="I119" s="21"/>
      <c r="J119" s="90"/>
      <c r="K119" s="90"/>
      <c r="L119" s="90"/>
      <c r="M119" s="90"/>
      <c r="N119" s="90"/>
      <c r="O119" s="90"/>
      <c r="P119" s="21"/>
      <c r="Q119" s="11"/>
    </row>
    <row r="120" spans="1:17" ht="12.75">
      <c r="A120" s="91"/>
      <c r="B120" s="91"/>
      <c r="C120" s="91"/>
      <c r="D120" s="91"/>
      <c r="E120" s="21"/>
      <c r="F120" s="91"/>
      <c r="G120" s="91"/>
      <c r="H120" s="91"/>
      <c r="I120" s="21"/>
      <c r="J120" s="90"/>
      <c r="K120" s="90"/>
      <c r="L120" s="90"/>
      <c r="M120" s="90"/>
      <c r="N120" s="90"/>
      <c r="O120" s="90"/>
      <c r="P120" s="21"/>
      <c r="Q120" s="11"/>
    </row>
    <row r="121" spans="1:17" ht="12.75">
      <c r="A121" s="91"/>
      <c r="B121" s="21"/>
      <c r="C121" s="90"/>
      <c r="D121" s="90"/>
      <c r="E121" s="21"/>
      <c r="F121" s="91"/>
      <c r="G121" s="91"/>
      <c r="H121" s="91"/>
      <c r="I121" s="21"/>
      <c r="J121" s="90"/>
      <c r="K121" s="90"/>
      <c r="L121" s="90"/>
      <c r="M121" s="90"/>
      <c r="N121" s="90"/>
      <c r="O121" s="90"/>
      <c r="P121" s="21"/>
      <c r="Q121" s="11"/>
    </row>
    <row r="122" spans="1:17" ht="12.75">
      <c r="A122" s="91"/>
      <c r="B122" s="21"/>
      <c r="C122" s="21"/>
      <c r="D122" s="21"/>
      <c r="E122" s="21"/>
      <c r="F122" s="91"/>
      <c r="G122" s="91"/>
      <c r="H122" s="91"/>
      <c r="I122" s="21"/>
      <c r="J122" s="90"/>
      <c r="K122" s="90"/>
      <c r="L122" s="90"/>
      <c r="M122" s="90"/>
      <c r="N122" s="90"/>
      <c r="O122" s="90"/>
      <c r="P122" s="21"/>
      <c r="Q122" s="11"/>
    </row>
    <row r="123" spans="1:17" ht="12.75">
      <c r="A123" s="91"/>
      <c r="B123" s="21"/>
      <c r="C123" s="224"/>
      <c r="D123" s="21"/>
      <c r="E123" s="21"/>
      <c r="F123" s="91"/>
      <c r="G123" s="91"/>
      <c r="H123" s="91"/>
      <c r="I123" s="21"/>
      <c r="J123" s="90"/>
      <c r="K123" s="90"/>
      <c r="L123" s="90"/>
      <c r="M123" s="90"/>
      <c r="N123" s="90"/>
      <c r="O123" s="90"/>
      <c r="P123" s="21"/>
      <c r="Q123" s="11"/>
    </row>
    <row r="124" spans="1:17" ht="12.75">
      <c r="A124" s="91"/>
      <c r="B124" s="21"/>
      <c r="C124" s="21"/>
      <c r="D124" s="21"/>
      <c r="E124" s="21"/>
      <c r="F124" s="91"/>
      <c r="G124" s="91"/>
      <c r="H124" s="91"/>
      <c r="I124" s="21"/>
      <c r="J124" s="90"/>
      <c r="K124" s="90"/>
      <c r="L124" s="90"/>
      <c r="M124" s="90"/>
      <c r="N124" s="90"/>
      <c r="O124" s="90"/>
      <c r="P124" s="21"/>
      <c r="Q124" s="11"/>
    </row>
    <row r="125" spans="1:17" ht="12.75">
      <c r="A125" s="91"/>
      <c r="B125" s="21"/>
      <c r="C125" s="21"/>
      <c r="D125" s="21"/>
      <c r="E125" s="21"/>
      <c r="F125" s="91"/>
      <c r="G125" s="91"/>
      <c r="H125" s="91"/>
      <c r="I125" s="21"/>
      <c r="J125" s="90"/>
      <c r="K125" s="90"/>
      <c r="L125" s="90"/>
      <c r="M125" s="90"/>
      <c r="N125" s="90"/>
      <c r="O125" s="90"/>
      <c r="P125" s="21"/>
      <c r="Q125" s="11"/>
    </row>
    <row r="126" spans="1:17" ht="13.5">
      <c r="A126" s="28"/>
      <c r="B126" s="91"/>
      <c r="C126" s="28"/>
      <c r="D126" s="89"/>
      <c r="E126" s="21"/>
      <c r="F126" s="91"/>
      <c r="G126" s="91"/>
      <c r="H126" s="91"/>
      <c r="I126" s="21"/>
      <c r="J126" s="90"/>
      <c r="K126" s="90"/>
      <c r="L126" s="90"/>
      <c r="M126" s="90"/>
      <c r="N126" s="90"/>
      <c r="O126" s="90"/>
      <c r="P126" s="21"/>
      <c r="Q126" s="11"/>
    </row>
    <row r="127" spans="1:17" ht="12.75">
      <c r="A127" s="91"/>
      <c r="B127" s="91"/>
      <c r="C127" s="90"/>
      <c r="D127" s="90"/>
      <c r="E127" s="21"/>
      <c r="F127" s="91"/>
      <c r="G127" s="91"/>
      <c r="H127" s="91"/>
      <c r="I127" s="21"/>
      <c r="J127" s="90"/>
      <c r="K127" s="90"/>
      <c r="L127" s="90"/>
      <c r="M127" s="90"/>
      <c r="N127" s="90"/>
      <c r="O127" s="90"/>
      <c r="P127" s="21"/>
      <c r="Q127" s="11"/>
    </row>
    <row r="128" spans="1:17" ht="12.75">
      <c r="A128" s="91"/>
      <c r="B128" s="91"/>
      <c r="C128" s="91"/>
      <c r="D128" s="91"/>
      <c r="E128" s="21"/>
      <c r="F128" s="91"/>
      <c r="G128" s="91"/>
      <c r="H128" s="91"/>
      <c r="I128" s="21"/>
      <c r="J128" s="90"/>
      <c r="K128" s="90"/>
      <c r="L128" s="90"/>
      <c r="M128" s="90"/>
      <c r="N128" s="90"/>
      <c r="O128" s="90"/>
      <c r="P128" s="21"/>
      <c r="Q128" s="11"/>
    </row>
    <row r="129" spans="1:17" ht="12.75">
      <c r="A129" s="91"/>
      <c r="B129" s="91"/>
      <c r="C129" s="90"/>
      <c r="D129" s="90"/>
      <c r="E129" s="21"/>
      <c r="F129" s="91"/>
      <c r="G129" s="91"/>
      <c r="H129" s="91"/>
      <c r="I129" s="21"/>
      <c r="J129" s="90"/>
      <c r="K129" s="90"/>
      <c r="L129" s="90"/>
      <c r="M129" s="90"/>
      <c r="N129" s="90"/>
      <c r="O129" s="90"/>
      <c r="P129" s="21"/>
      <c r="Q129" s="11"/>
    </row>
    <row r="130" spans="1:17" ht="12.75">
      <c r="A130" s="91"/>
      <c r="B130" s="91"/>
      <c r="C130" s="90"/>
      <c r="D130" s="90"/>
      <c r="E130" s="21"/>
      <c r="F130" s="91"/>
      <c r="G130" s="91"/>
      <c r="H130" s="91"/>
      <c r="I130" s="21"/>
      <c r="J130" s="90"/>
      <c r="K130" s="90"/>
      <c r="L130" s="90"/>
      <c r="M130" s="90"/>
      <c r="N130" s="90"/>
      <c r="O130" s="90"/>
      <c r="P130" s="21"/>
      <c r="Q130" s="11"/>
    </row>
    <row r="131" spans="1:17" ht="12.75">
      <c r="A131" s="91"/>
      <c r="B131" s="91"/>
      <c r="C131" s="90"/>
      <c r="D131" s="90"/>
      <c r="E131" s="21"/>
      <c r="F131" s="91"/>
      <c r="G131" s="91"/>
      <c r="H131" s="91"/>
      <c r="I131" s="21"/>
      <c r="J131" s="90"/>
      <c r="K131" s="90"/>
      <c r="L131" s="90"/>
      <c r="M131" s="90"/>
      <c r="N131" s="90"/>
      <c r="O131" s="90"/>
      <c r="P131" s="21"/>
      <c r="Q131" s="11"/>
    </row>
    <row r="132" spans="1:17" ht="12.75">
      <c r="A132" s="91"/>
      <c r="B132" s="91"/>
      <c r="C132" s="90"/>
      <c r="D132" s="90"/>
      <c r="E132" s="21"/>
      <c r="F132" s="91"/>
      <c r="G132" s="91"/>
      <c r="H132" s="91"/>
      <c r="I132" s="21"/>
      <c r="J132" s="90"/>
      <c r="K132" s="90"/>
      <c r="L132" s="90"/>
      <c r="M132" s="90"/>
      <c r="N132" s="90"/>
      <c r="O132" s="90"/>
      <c r="P132" s="21"/>
      <c r="Q132" s="11"/>
    </row>
    <row r="133" spans="1:17" ht="12.75">
      <c r="A133" s="91"/>
      <c r="B133" s="91"/>
      <c r="C133" s="90"/>
      <c r="D133" s="90"/>
      <c r="E133" s="21"/>
      <c r="F133" s="91"/>
      <c r="G133" s="91"/>
      <c r="H133" s="91"/>
      <c r="I133" s="21"/>
      <c r="J133" s="90"/>
      <c r="K133" s="90"/>
      <c r="L133" s="90"/>
      <c r="M133" s="90"/>
      <c r="N133" s="90"/>
      <c r="O133" s="90"/>
      <c r="P133" s="21"/>
      <c r="Q133" s="11"/>
    </row>
    <row r="134" spans="1:17" ht="12.75">
      <c r="A134" s="91"/>
      <c r="B134" s="91"/>
      <c r="C134" s="90"/>
      <c r="D134" s="90"/>
      <c r="E134" s="21"/>
      <c r="F134" s="91"/>
      <c r="G134" s="91"/>
      <c r="H134" s="91"/>
      <c r="I134" s="21"/>
      <c r="J134" s="90"/>
      <c r="K134" s="90"/>
      <c r="L134" s="90"/>
      <c r="M134" s="90"/>
      <c r="N134" s="90"/>
      <c r="O134" s="90"/>
      <c r="P134" s="21"/>
      <c r="Q134" s="11"/>
    </row>
    <row r="135" spans="1:17" ht="12.75">
      <c r="A135" s="91"/>
      <c r="B135" s="91"/>
      <c r="C135" s="90"/>
      <c r="D135" s="90"/>
      <c r="E135" s="21"/>
      <c r="F135" s="91"/>
      <c r="G135" s="91"/>
      <c r="H135" s="91"/>
      <c r="I135" s="21"/>
      <c r="J135" s="90"/>
      <c r="K135" s="90"/>
      <c r="L135" s="90"/>
      <c r="M135" s="90"/>
      <c r="N135" s="90"/>
      <c r="O135" s="90"/>
      <c r="P135" s="21"/>
      <c r="Q135" s="11"/>
    </row>
    <row r="136" spans="1:17" ht="12.75">
      <c r="A136" s="91"/>
      <c r="B136" s="91"/>
      <c r="C136" s="90"/>
      <c r="D136" s="90"/>
      <c r="E136" s="21"/>
      <c r="F136" s="91"/>
      <c r="G136" s="91"/>
      <c r="H136" s="91"/>
      <c r="I136" s="21"/>
      <c r="J136" s="90"/>
      <c r="K136" s="90"/>
      <c r="L136" s="90"/>
      <c r="M136" s="90"/>
      <c r="N136" s="90"/>
      <c r="O136" s="90"/>
      <c r="P136" s="21"/>
      <c r="Q136" s="11"/>
    </row>
    <row r="137" spans="1:17" ht="12.75">
      <c r="A137" s="91"/>
      <c r="B137" s="91"/>
      <c r="C137" s="225"/>
      <c r="D137" s="90"/>
      <c r="E137" s="21"/>
      <c r="F137" s="90"/>
      <c r="G137" s="90"/>
      <c r="H137" s="21"/>
      <c r="I137" s="21"/>
      <c r="J137" s="90"/>
      <c r="K137" s="90"/>
      <c r="L137" s="90"/>
      <c r="M137" s="90"/>
      <c r="N137" s="21"/>
      <c r="O137" s="90"/>
      <c r="P137" s="21"/>
      <c r="Q137" s="11"/>
    </row>
    <row r="138" spans="1:26" ht="12.75">
      <c r="A138" s="91"/>
      <c r="B138" s="91"/>
      <c r="C138" s="90"/>
      <c r="D138" s="90"/>
      <c r="E138" s="90"/>
      <c r="F138" s="21"/>
      <c r="G138" s="21"/>
      <c r="H138" s="21"/>
      <c r="I138" s="21"/>
      <c r="J138" s="90"/>
      <c r="K138" s="90"/>
      <c r="L138" s="90"/>
      <c r="M138" s="90"/>
      <c r="N138" s="21"/>
      <c r="O138" s="21"/>
      <c r="P138" s="2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91"/>
      <c r="B139" s="91"/>
      <c r="C139" s="224"/>
      <c r="D139" s="9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7" ht="13.5">
      <c r="A140" s="91"/>
      <c r="B140" s="91"/>
      <c r="C140" s="90"/>
      <c r="D140" s="90"/>
      <c r="E140" s="21"/>
      <c r="F140" s="21"/>
      <c r="G140" s="21"/>
      <c r="H140" s="21"/>
      <c r="I140" s="21"/>
      <c r="J140" s="28"/>
      <c r="K140" s="28"/>
      <c r="L140" s="28"/>
      <c r="M140" s="28"/>
      <c r="N140" s="28"/>
      <c r="O140" s="100"/>
      <c r="P140" s="101"/>
      <c r="Q140" s="21"/>
      <c r="R140" s="21"/>
      <c r="S140" s="28"/>
      <c r="T140" s="21"/>
      <c r="U140" s="21"/>
      <c r="V140" s="21"/>
      <c r="W140" s="21"/>
      <c r="X140" s="21"/>
      <c r="Y140" s="21"/>
      <c r="Z140" s="21"/>
      <c r="AA140" s="46"/>
    </row>
    <row r="141" spans="1:27" ht="12.75">
      <c r="A141" s="91"/>
      <c r="B141" s="91"/>
      <c r="C141" s="90"/>
      <c r="D141" s="90"/>
      <c r="E141" s="90"/>
      <c r="F141" s="21"/>
      <c r="G141" s="21"/>
      <c r="H141" s="21"/>
      <c r="I141" s="21"/>
      <c r="J141" s="21"/>
      <c r="K141" s="21"/>
      <c r="L141" s="21"/>
      <c r="M141" s="20"/>
      <c r="N141" s="20"/>
      <c r="O141" s="99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46"/>
    </row>
    <row r="142" spans="1:27" ht="12.75">
      <c r="A142" s="90"/>
      <c r="B142" s="90"/>
      <c r="C142" s="90"/>
      <c r="D142" s="90"/>
      <c r="E142" s="21"/>
      <c r="F142" s="21"/>
      <c r="G142" s="21"/>
      <c r="H142" s="21"/>
      <c r="I142" s="21"/>
      <c r="J142" s="21"/>
      <c r="K142" s="21"/>
      <c r="L142" s="21"/>
      <c r="M142" s="20"/>
      <c r="N142" s="20"/>
      <c r="O142" s="20"/>
      <c r="P142" s="20"/>
      <c r="Q142" s="20"/>
      <c r="R142" s="90"/>
      <c r="S142" s="90"/>
      <c r="T142" s="21"/>
      <c r="U142" s="98"/>
      <c r="V142" s="20"/>
      <c r="W142" s="48"/>
      <c r="X142" s="48"/>
      <c r="Y142" s="21"/>
      <c r="Z142" s="21"/>
      <c r="AA142" s="46"/>
    </row>
    <row r="143" spans="1:27" ht="12.75">
      <c r="A143" s="21"/>
      <c r="B143" s="90"/>
      <c r="C143" s="90"/>
      <c r="D143" s="21"/>
      <c r="E143" s="21"/>
      <c r="F143" s="21"/>
      <c r="G143" s="21"/>
      <c r="H143" s="21"/>
      <c r="I143" s="21"/>
      <c r="J143" s="21"/>
      <c r="K143" s="21"/>
      <c r="L143" s="21"/>
      <c r="M143" s="90"/>
      <c r="N143" s="90"/>
      <c r="O143" s="90"/>
      <c r="P143" s="90"/>
      <c r="Q143" s="90"/>
      <c r="R143" s="21"/>
      <c r="S143" s="21"/>
      <c r="T143" s="21"/>
      <c r="U143" s="21"/>
      <c r="V143" s="99"/>
      <c r="W143" s="21"/>
      <c r="X143" s="21"/>
      <c r="Y143" s="21"/>
      <c r="Z143" s="21"/>
      <c r="AA143" s="46"/>
    </row>
    <row r="144" spans="1:27" ht="12.75">
      <c r="A144" s="21"/>
      <c r="B144" s="90"/>
      <c r="C144" s="9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46"/>
    </row>
    <row r="145" spans="1:27" ht="12.75">
      <c r="A145" s="21"/>
      <c r="B145" s="90"/>
      <c r="C145" s="90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46"/>
    </row>
    <row r="146" spans="1:27" ht="12.75">
      <c r="A146" s="21"/>
      <c r="B146" s="90"/>
      <c r="C146" s="9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46"/>
    </row>
    <row r="147" spans="1:27" ht="13.5">
      <c r="A147" s="218"/>
      <c r="B147" s="90"/>
      <c r="C147" s="90"/>
      <c r="D147" s="21"/>
      <c r="E147" s="21"/>
      <c r="F147" s="21"/>
      <c r="G147" s="21"/>
      <c r="H147" s="21"/>
      <c r="I147" s="21"/>
      <c r="J147" s="102"/>
      <c r="K147" s="103"/>
      <c r="L147" s="103"/>
      <c r="M147" s="103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46"/>
    </row>
    <row r="148" spans="1:27" ht="13.5">
      <c r="A148" s="21"/>
      <c r="B148" s="90"/>
      <c r="C148" s="90"/>
      <c r="D148" s="21"/>
      <c r="E148" s="21"/>
      <c r="F148" s="21"/>
      <c r="G148" s="21"/>
      <c r="H148" s="21"/>
      <c r="I148" s="21"/>
      <c r="J148" s="28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46"/>
    </row>
    <row r="149" spans="1:27" ht="12.75">
      <c r="A149" s="21"/>
      <c r="B149" s="90"/>
      <c r="C149" s="90"/>
      <c r="D149" s="21"/>
      <c r="E149" s="21"/>
      <c r="F149" s="21"/>
      <c r="G149" s="21"/>
      <c r="H149" s="21"/>
      <c r="I149" s="21"/>
      <c r="J149" s="104"/>
      <c r="K149" s="104"/>
      <c r="L149" s="104"/>
      <c r="M149" s="104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46"/>
    </row>
    <row r="150" spans="1:27" ht="12.75">
      <c r="A150" s="21"/>
      <c r="B150" s="90"/>
      <c r="C150" s="90"/>
      <c r="D150" s="21"/>
      <c r="E150" s="21"/>
      <c r="F150" s="21"/>
      <c r="G150" s="21"/>
      <c r="H150" s="21"/>
      <c r="I150" s="21"/>
      <c r="J150" s="21"/>
      <c r="K150" s="21"/>
      <c r="L150" s="90"/>
      <c r="M150" s="90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46"/>
    </row>
    <row r="151" spans="1:27" ht="12.75">
      <c r="A151" s="21"/>
      <c r="B151" s="90"/>
      <c r="C151" s="90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46"/>
    </row>
    <row r="152" spans="1:27" ht="12.75">
      <c r="A152" s="21"/>
      <c r="B152" s="90"/>
      <c r="C152" s="9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46"/>
    </row>
    <row r="153" spans="1:27" ht="12.75">
      <c r="A153" s="21"/>
      <c r="B153" s="90"/>
      <c r="C153" s="9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46"/>
    </row>
    <row r="154" spans="1:27" ht="12.75">
      <c r="A154" s="21"/>
      <c r="B154" s="90"/>
      <c r="C154" s="90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46"/>
    </row>
    <row r="155" spans="1:27" ht="12.75">
      <c r="A155" s="21"/>
      <c r="B155" s="90"/>
      <c r="C155" s="9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46"/>
    </row>
    <row r="156" spans="1:27" ht="12.75">
      <c r="A156" s="21"/>
      <c r="B156" s="90"/>
      <c r="C156" s="90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46"/>
    </row>
    <row r="157" spans="1:27" ht="12.75">
      <c r="A157" s="21"/>
      <c r="B157" s="90"/>
      <c r="C157" s="9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46"/>
    </row>
    <row r="158" spans="1:27" ht="12.75">
      <c r="A158" s="21"/>
      <c r="B158" s="90"/>
      <c r="C158" s="90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46"/>
    </row>
    <row r="159" spans="1:27" ht="12.75">
      <c r="A159" s="21"/>
      <c r="B159" s="90"/>
      <c r="C159" s="9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46"/>
    </row>
    <row r="160" spans="1:27" ht="12.75">
      <c r="A160" s="21"/>
      <c r="B160" s="90"/>
      <c r="C160" s="9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46"/>
    </row>
    <row r="161" spans="1:27" ht="12.75">
      <c r="A161" s="21"/>
      <c r="B161" s="90"/>
      <c r="C161" s="9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46"/>
    </row>
    <row r="162" spans="1:27" ht="12.75">
      <c r="A162" s="21"/>
      <c r="B162" s="90"/>
      <c r="C162" s="90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46"/>
    </row>
    <row r="163" spans="1:27" ht="12.75">
      <c r="A163" s="21"/>
      <c r="B163" s="90"/>
      <c r="C163" s="9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46"/>
    </row>
    <row r="164" spans="1:27" ht="12.75">
      <c r="A164" s="21"/>
      <c r="B164" s="90"/>
      <c r="C164" s="9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46"/>
    </row>
    <row r="165" spans="1:27" ht="12.75">
      <c r="A165" s="21"/>
      <c r="B165" s="90"/>
      <c r="C165" s="9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46"/>
    </row>
    <row r="166" spans="1:27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46"/>
    </row>
    <row r="167" spans="1:27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46"/>
    </row>
    <row r="168" spans="1:27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46"/>
    </row>
    <row r="169" spans="1:27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46"/>
    </row>
    <row r="170" spans="1:27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46"/>
    </row>
    <row r="171" spans="1:27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46"/>
    </row>
    <row r="172" spans="1:27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46"/>
    </row>
    <row r="173" spans="1:27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46"/>
    </row>
    <row r="174" spans="1:27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46"/>
    </row>
    <row r="175" spans="1:27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46"/>
    </row>
    <row r="176" spans="1:27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46"/>
    </row>
    <row r="177" spans="1:27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46"/>
    </row>
    <row r="178" spans="1:27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46"/>
    </row>
    <row r="179" spans="1:27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46"/>
    </row>
    <row r="180" spans="1:27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46"/>
    </row>
    <row r="181" spans="1:27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46"/>
    </row>
    <row r="182" spans="9:27" ht="12.75">
      <c r="I182" s="46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46"/>
    </row>
    <row r="183" spans="9:27" ht="12.75">
      <c r="I183" s="46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46"/>
    </row>
    <row r="184" spans="9:27" ht="12.75">
      <c r="I184" s="46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46"/>
    </row>
    <row r="185" spans="9:27" ht="12.75"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9:27" ht="12.75"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9:27" ht="12.75"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9:27" ht="12.75"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9:27" ht="12.75"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9:27" ht="12.75"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9:27" ht="12.75"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9:27" ht="12.75"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9:27" ht="12.75"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9:27" ht="12.75"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9:27" ht="12.75"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9:27" ht="12.75"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9:27" ht="12.75"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9:27" ht="12.75"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</sheetData>
  <sheetProtection/>
  <mergeCells count="1">
    <mergeCell ref="J79:M7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6"/>
  <sheetViews>
    <sheetView zoomScalePageLayoutView="0" workbookViewId="0" topLeftCell="A1">
      <selection activeCell="J27" sqref="J27"/>
    </sheetView>
  </sheetViews>
  <sheetFormatPr defaultColWidth="11.421875" defaultRowHeight="12.75"/>
  <sheetData>
    <row r="1" spans="1:4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05"/>
      <c r="L2" s="205"/>
      <c r="M2" s="205"/>
      <c r="N2" s="20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7.25">
      <c r="A3" s="24"/>
      <c r="B3" s="24"/>
      <c r="C3" s="24"/>
      <c r="D3" s="24"/>
      <c r="E3" s="24"/>
      <c r="F3" s="24"/>
      <c r="G3" s="24"/>
      <c r="H3" s="21"/>
      <c r="I3" s="21"/>
      <c r="J3" s="2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3.5">
      <c r="A5" s="28"/>
      <c r="B5" s="21"/>
      <c r="C5" s="21"/>
      <c r="D5" s="21"/>
      <c r="E5" s="21"/>
      <c r="F5" s="21"/>
      <c r="G5" s="21"/>
      <c r="H5" s="21"/>
      <c r="I5" s="21"/>
      <c r="J5" s="2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7.25">
      <c r="A7" s="29"/>
      <c r="B7" s="21"/>
      <c r="C7" s="21"/>
      <c r="D7" s="21"/>
      <c r="E7" s="21"/>
      <c r="F7" s="21"/>
      <c r="G7" s="21"/>
      <c r="H7" s="21"/>
      <c r="I7" s="21"/>
      <c r="J7" s="2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7.25">
      <c r="A8" s="29"/>
      <c r="B8" s="25"/>
      <c r="C8" s="25"/>
      <c r="D8" s="25"/>
      <c r="E8" s="25"/>
      <c r="F8" s="25"/>
      <c r="G8" s="25"/>
      <c r="H8" s="25"/>
      <c r="I8" s="25"/>
      <c r="J8" s="2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3.5">
      <c r="A11" s="88"/>
      <c r="B11" s="88"/>
      <c r="C11" s="88"/>
      <c r="D11" s="8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3.5">
      <c r="A13" s="11"/>
      <c r="B13" s="10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3.5">
      <c r="A15" s="11"/>
      <c r="B15" s="108"/>
      <c r="C15" s="11"/>
      <c r="D15" s="11"/>
      <c r="E15" s="21"/>
      <c r="F15" s="20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3.5">
      <c r="A17" s="11"/>
      <c r="B17" s="108"/>
      <c r="C17" s="11"/>
      <c r="D17" s="11"/>
      <c r="E17" s="21"/>
      <c r="F17" s="206"/>
      <c r="G17" s="10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13.5">
      <c r="A20" s="8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3.5">
      <c r="A22" s="11"/>
      <c r="B22" s="10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3.5">
      <c r="A24" s="11"/>
      <c r="B24" s="108"/>
      <c r="C24" s="11"/>
      <c r="D24" s="11"/>
      <c r="E24" s="21"/>
      <c r="F24" s="10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3.5">
      <c r="A26" s="11"/>
      <c r="B26" s="108"/>
      <c r="C26" s="11"/>
      <c r="D26" s="11"/>
      <c r="E26" s="21"/>
      <c r="F26" s="10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3.5">
      <c r="A29" s="11"/>
      <c r="B29" s="10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3.5">
      <c r="A31" s="11"/>
      <c r="B31" s="108"/>
      <c r="C31" s="11"/>
      <c r="D31" s="11"/>
      <c r="E31" s="21"/>
      <c r="F31" s="10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3.5">
      <c r="A33" s="11"/>
      <c r="B33" s="108"/>
      <c r="C33" s="11"/>
      <c r="D33" s="11"/>
      <c r="E33" s="21"/>
      <c r="F33" s="10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3.5">
      <c r="A36" s="11"/>
      <c r="B36" s="10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3.5">
      <c r="A38" s="11"/>
      <c r="B38" s="108"/>
      <c r="C38" s="11"/>
      <c r="D38" s="11"/>
      <c r="E38" s="21"/>
      <c r="F38" s="10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3.5">
      <c r="A40" s="11"/>
      <c r="B40" s="108"/>
      <c r="C40" s="11"/>
      <c r="D40" s="11"/>
      <c r="E40" s="21"/>
      <c r="F40" s="107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3.5">
      <c r="A43" s="11"/>
      <c r="B43" s="88"/>
      <c r="C43" s="11"/>
      <c r="D43" s="11"/>
      <c r="E43" s="21"/>
      <c r="F43" s="107"/>
      <c r="G43" s="10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3.5">
      <c r="A45" s="8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3.5">
      <c r="A47" s="11"/>
      <c r="B47" s="108"/>
      <c r="C47" s="11"/>
      <c r="D47" s="11"/>
      <c r="E47" s="11"/>
      <c r="F47" s="107"/>
      <c r="G47" s="10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3.5">
      <c r="A49" s="11"/>
      <c r="B49" s="108"/>
      <c r="C49" s="11"/>
      <c r="D49" s="11"/>
      <c r="E49" s="21"/>
      <c r="F49" s="107"/>
      <c r="G49" s="20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.75">
      <c r="A50" s="11"/>
      <c r="B50" s="20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3.5">
      <c r="A51" s="11"/>
      <c r="B51" s="109"/>
      <c r="C51" s="11"/>
      <c r="D51" s="11"/>
      <c r="E51" s="21"/>
      <c r="F51" s="107"/>
      <c r="G51" s="20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2.75">
      <c r="A52" s="11"/>
      <c r="B52" s="20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3.5">
      <c r="A53" s="11"/>
      <c r="B53" s="109"/>
      <c r="C53" s="11"/>
      <c r="D53" s="11"/>
      <c r="E53" s="21"/>
      <c r="F53" s="10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2.75">
      <c r="A54" s="11"/>
      <c r="B54" s="20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3.5">
      <c r="A55" s="11"/>
      <c r="B55" s="109"/>
      <c r="C55" s="11"/>
      <c r="D55" s="11"/>
      <c r="E55" s="21"/>
      <c r="F55" s="10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3.5">
      <c r="A57" s="11"/>
      <c r="B57" s="108"/>
      <c r="C57" s="11"/>
      <c r="D57" s="11"/>
      <c r="E57" s="21"/>
      <c r="F57" s="107"/>
      <c r="G57" s="108"/>
      <c r="H57" s="21"/>
      <c r="I57" s="21"/>
      <c r="J57" s="2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3.5">
      <c r="A62" s="209"/>
      <c r="B62" s="157"/>
      <c r="C62" s="11"/>
      <c r="D62" s="11"/>
      <c r="E62" s="11"/>
      <c r="F62" s="11"/>
      <c r="G62" s="10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3.5">
      <c r="A64" s="11"/>
      <c r="B64" s="109"/>
      <c r="C64" s="11"/>
      <c r="D64" s="11"/>
      <c r="E64" s="210"/>
      <c r="F64" s="107"/>
      <c r="G64" s="10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2.7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3.5">
      <c r="A66" s="11"/>
      <c r="B66" s="109"/>
      <c r="C66" s="11"/>
      <c r="D66" s="11"/>
      <c r="E66" s="11"/>
      <c r="F66" s="107"/>
      <c r="G66" s="109"/>
      <c r="H66" s="110"/>
      <c r="I66" s="110"/>
      <c r="J66" s="1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3.5">
      <c r="A68" s="11"/>
      <c r="B68" s="108"/>
      <c r="C68" s="11"/>
      <c r="D68" s="11"/>
      <c r="E68" s="21"/>
      <c r="F68" s="107"/>
      <c r="G68" s="108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3.5">
      <c r="A70" s="11"/>
      <c r="B70" s="108"/>
      <c r="C70" s="11"/>
      <c r="D70" s="11"/>
      <c r="E70" s="11"/>
      <c r="F70" s="107"/>
      <c r="G70" s="109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3.5">
      <c r="A73" s="211"/>
      <c r="B73" s="212"/>
      <c r="C73" s="212"/>
      <c r="D73" s="212"/>
      <c r="E73" s="212"/>
      <c r="F73" s="212"/>
      <c r="G73" s="212"/>
      <c r="H73" s="212"/>
      <c r="I73" s="212"/>
      <c r="J73" s="212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3.5">
      <c r="A75" s="213"/>
      <c r="B75" s="28"/>
      <c r="C75" s="28"/>
      <c r="D75" s="28"/>
      <c r="E75" s="28"/>
      <c r="F75" s="21"/>
      <c r="G75" s="21"/>
      <c r="H75" s="28"/>
      <c r="I75" s="21"/>
      <c r="J75" s="21"/>
      <c r="K75" s="21"/>
      <c r="L75" s="21"/>
      <c r="M75" s="21"/>
      <c r="N75" s="21"/>
      <c r="O75" s="21"/>
      <c r="P75" s="28"/>
      <c r="Q75" s="28"/>
      <c r="R75" s="28"/>
      <c r="S75" s="21"/>
      <c r="T75" s="21"/>
      <c r="U75" s="21"/>
      <c r="V75" s="2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3.5">
      <c r="A76" s="153"/>
      <c r="B76" s="28"/>
      <c r="C76" s="28"/>
      <c r="D76" s="28"/>
      <c r="E76" s="28"/>
      <c r="F76" s="89"/>
      <c r="G76" s="90"/>
      <c r="H76" s="28"/>
      <c r="I76" s="28"/>
      <c r="J76" s="28"/>
      <c r="K76" s="28"/>
      <c r="L76" s="89"/>
      <c r="M76" s="90"/>
      <c r="N76" s="28"/>
      <c r="O76" s="21"/>
      <c r="P76" s="21"/>
      <c r="Q76" s="154" t="s">
        <v>38</v>
      </c>
      <c r="R76" s="21"/>
      <c r="S76" s="21"/>
      <c r="T76" s="21"/>
      <c r="U76" s="21"/>
      <c r="V76" s="2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3.5">
      <c r="A77" s="213"/>
      <c r="B77" s="11"/>
      <c r="C77" s="14"/>
      <c r="D77" s="11"/>
      <c r="E77" s="14"/>
      <c r="F77" s="14"/>
      <c r="G77" s="14"/>
      <c r="H77" s="11"/>
      <c r="I77" s="14"/>
      <c r="J77" s="11"/>
      <c r="K77" s="14"/>
      <c r="L77" s="14"/>
      <c r="M77" s="14"/>
      <c r="N77" s="20"/>
      <c r="O77" s="214"/>
      <c r="P77" s="215"/>
      <c r="Q77" s="214" t="s">
        <v>24</v>
      </c>
      <c r="R77" s="20" t="s">
        <v>27</v>
      </c>
      <c r="S77" s="20" t="s">
        <v>44</v>
      </c>
      <c r="T77" s="20" t="s">
        <v>45</v>
      </c>
      <c r="U77" s="20" t="s">
        <v>51</v>
      </c>
      <c r="V77" s="20" t="s">
        <v>48</v>
      </c>
      <c r="W77" s="20" t="s">
        <v>52</v>
      </c>
      <c r="X77" s="20" t="s">
        <v>53</v>
      </c>
      <c r="Y77" s="20" t="s">
        <v>54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0"/>
      <c r="O78" s="214"/>
      <c r="P78" s="20"/>
      <c r="Q78" s="20" t="s">
        <v>22</v>
      </c>
      <c r="R78" s="20"/>
      <c r="S78" s="11"/>
      <c r="T78" s="14" t="s">
        <v>46</v>
      </c>
      <c r="U78" s="11" t="s">
        <v>47</v>
      </c>
      <c r="V78" s="216" t="s">
        <v>49</v>
      </c>
      <c r="W78" s="20" t="s">
        <v>18</v>
      </c>
      <c r="X78" s="48" t="s">
        <v>18</v>
      </c>
      <c r="Y78" s="48" t="s">
        <v>18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2.75">
      <c r="A79" s="210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1"/>
      <c r="M79" s="11"/>
      <c r="N79" s="14"/>
      <c r="O79" s="14"/>
      <c r="P79" s="14"/>
      <c r="Q79" s="14"/>
      <c r="R79" s="14"/>
      <c r="S79" s="11"/>
      <c r="T79" s="11"/>
      <c r="U79" s="11"/>
      <c r="V79" s="11"/>
      <c r="W79" s="99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2.75">
      <c r="A80" s="210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1"/>
      <c r="M80" s="11"/>
      <c r="N80" s="14"/>
      <c r="O80" s="14"/>
      <c r="P80" s="14"/>
      <c r="Q80" s="14" t="e">
        <f>(E57/((E26+E33+E40)/A80*(E57/E64)+0.83*(E15/E57)^0.333-(E26+E33+E40)/A80))</f>
        <v>#DIV/0!</v>
      </c>
      <c r="R80" s="14" t="e">
        <f>(((E15*(A80^3))/(12*(10^-3)*P80)))^0.25</f>
        <v>#DIV/0!</v>
      </c>
      <c r="S80" s="11" t="e">
        <f>((E15*10^3*(A80*10^-3)^3*0.08333)/(T80+(E15*10^3*(A80*10^-3)^3*0.08333)))</f>
        <v>#DIV/0!</v>
      </c>
      <c r="T80" s="11" t="e">
        <f>(D80*E51*300)/(36.7*V80)</f>
        <v>#DIV/0!</v>
      </c>
      <c r="U80" s="11" t="e">
        <f>(S80*E49*E51^2*6)/(10.5*(A80*10^-3)^2)</f>
        <v>#DIV/0!</v>
      </c>
      <c r="V80" s="11" t="e">
        <f>((1+(0.364*(E49+A80*10^-3*E53)*E51^2)/D80)^-1)</f>
        <v>#DIV/0!</v>
      </c>
      <c r="W80" s="99" t="e">
        <f>(E49*S80*E51^4)/(100.8*E15*10^3*(A80*10^-3)^3*0.08333)*10^3</f>
        <v>#DIV/0!</v>
      </c>
      <c r="X80" s="11" t="e">
        <f>(J80*E51^2)/(36.7*E15*10^3*(A80*10^-3)^3*0.08333)*10^3</f>
        <v>#DIV/0!</v>
      </c>
      <c r="Y80" s="11" t="e">
        <f>(J80/D80)*E80</f>
        <v>#DIV/0!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2.75">
      <c r="A81" s="210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1"/>
      <c r="M81" s="11"/>
      <c r="N81" s="14"/>
      <c r="O81" s="14"/>
      <c r="P81" s="14"/>
      <c r="Q81" s="14" t="e">
        <f>(E57/((E26+E33+E40)/A81*(E57/E64)+0.83*(E15/E57)^0.333-(E26+E33+E40)/A81))</f>
        <v>#DIV/0!</v>
      </c>
      <c r="R81" s="14" t="e">
        <f>(((E15*(A81^3))/(12*(10^-3)*P81)))^0.25</f>
        <v>#DIV/0!</v>
      </c>
      <c r="S81" s="11"/>
      <c r="T81" s="11"/>
      <c r="U81" s="11"/>
      <c r="V81" s="11"/>
      <c r="W81" s="99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2.75">
      <c r="A82" s="210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1"/>
      <c r="M82" s="11"/>
      <c r="N82" s="14"/>
      <c r="O82" s="14"/>
      <c r="P82" s="14"/>
      <c r="Q82" s="14" t="e">
        <f>(E57/((E26+E33+E40)/A82*(E57/E64)+0.83*(E15/E57)^0.333-(E26+E33+E40)/A82))</f>
        <v>#DIV/0!</v>
      </c>
      <c r="R82" s="14" t="e">
        <f>(((E15*(A82^3))/(12*(10^-3)*P82)))^0.25</f>
        <v>#DIV/0!</v>
      </c>
      <c r="S82" s="11" t="e">
        <f>(0.8*E15*1*1000*(A82^3)/12)/(0.8*T82*10^9+(E15*(1*1000*(A82^3)/12)))</f>
        <v>#DIV/0!</v>
      </c>
      <c r="T82" s="11"/>
      <c r="U82" s="11"/>
      <c r="V82" s="11"/>
      <c r="W82" s="99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2.75">
      <c r="A83" s="210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1"/>
      <c r="M83" s="11"/>
      <c r="N83" s="14"/>
      <c r="O83" s="14"/>
      <c r="P83" s="14"/>
      <c r="Q83" s="14" t="e">
        <f>(E57/((E26+E33+E40)/A83*(E57/E64)+0.83*(E15/E57)^0.333-(E26+E33+E40)/A83))</f>
        <v>#DIV/0!</v>
      </c>
      <c r="R83" s="14" t="e">
        <f>(((E15*(A83^3))/(12*(10^-3)*P83)))^0.25</f>
        <v>#DIV/0!</v>
      </c>
      <c r="S83" s="11" t="e">
        <f>(0.8*E15*1*1000*(A83^3)/12)/(0.8*T83*10^9+(E15*(1*1000*(A83^3)/12)))</f>
        <v>#DIV/0!</v>
      </c>
      <c r="T83" s="11"/>
      <c r="U83" s="11"/>
      <c r="V83" s="11"/>
      <c r="W83" s="99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.75">
      <c r="A84" s="210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1"/>
      <c r="M84" s="11"/>
      <c r="N84" s="14"/>
      <c r="O84" s="14"/>
      <c r="P84" s="14"/>
      <c r="Q84" s="14" t="e">
        <f>(E57/((E26+E33+E40)/A84*(E57/E64)+0.83*(E15/E57)^0.333-(E26+E33+E40)/A84))</f>
        <v>#DIV/0!</v>
      </c>
      <c r="R84" s="14" t="e">
        <f>(((E15*(A84^3))/(12*(10^-3)*P84)))^0.25</f>
        <v>#DIV/0!</v>
      </c>
      <c r="S84" s="11" t="e">
        <f>(0.8*E15*1*1000*(A84^3)/12)/(0.8*T84*10^9+(E15*(1*1000*(A84^3)/12)))</f>
        <v>#DIV/0!</v>
      </c>
      <c r="T84" s="11"/>
      <c r="U84" s="11"/>
      <c r="V84" s="11"/>
      <c r="W84" s="99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2.75">
      <c r="A85" s="210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1"/>
      <c r="M85" s="11"/>
      <c r="N85" s="14"/>
      <c r="O85" s="14"/>
      <c r="P85" s="14"/>
      <c r="Q85" s="14" t="e">
        <f>(E57/((E26+E33+E40)/A85*(E57/E64)+0.83*(E15/E57)^0.333-(E26+E33+E40)/A85))</f>
        <v>#DIV/0!</v>
      </c>
      <c r="R85" s="14" t="e">
        <f>(((E15*(A85^3))/(12*(10^-3)*P85)))^0.25</f>
        <v>#DIV/0!</v>
      </c>
      <c r="S85" s="11" t="e">
        <f>(0.8*E15*1*1000*(A85^3)/12)/(0.8*T85*10^9+(E15*(1*1000*(A85^3)/12)))</f>
        <v>#DIV/0!</v>
      </c>
      <c r="T85" s="11"/>
      <c r="U85" s="11"/>
      <c r="V85" s="11"/>
      <c r="W85" s="99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2.75">
      <c r="A86" s="210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1"/>
      <c r="M86" s="11"/>
      <c r="N86" s="14"/>
      <c r="O86" s="14"/>
      <c r="P86" s="14"/>
      <c r="Q86" s="14" t="e">
        <f>(E57/((E26+E33+E40)/A86*(E57/E64)+0.83*(E15/E57)^0.333-(E26+E33+E40)/A86))</f>
        <v>#DIV/0!</v>
      </c>
      <c r="R86" s="14" t="e">
        <f>(((E15*(A86^3))/(12*(10^-3)*P86)))^0.25</f>
        <v>#DIV/0!</v>
      </c>
      <c r="S86" s="11" t="e">
        <f>(0.8*E15*1*1000*(A86^3)/12)/(0.8*T86*10^9+(E15*(1*1000*(A86^3)/12)))</f>
        <v>#DIV/0!</v>
      </c>
      <c r="T86" s="11"/>
      <c r="U86" s="11"/>
      <c r="V86" s="11"/>
      <c r="W86" s="99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.75">
      <c r="A87" s="210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1"/>
      <c r="M87" s="11"/>
      <c r="N87" s="14"/>
      <c r="O87" s="14"/>
      <c r="P87" s="14"/>
      <c r="Q87" s="14" t="e">
        <f>(E57/((E26+E33+E40)/A87*(E57/E64)+0.83*(E15/E57)^0.333-(E26+E33+E40)/A87))</f>
        <v>#DIV/0!</v>
      </c>
      <c r="R87" s="14" t="e">
        <f>(((E15*(A87^3))/(12*(10^-3)*P87)))^0.25</f>
        <v>#DIV/0!</v>
      </c>
      <c r="S87" s="11" t="e">
        <f>(0.8*E15*1*1000*(A87^3)/12)/(0.8*T87*10^9+(E15*(1*1000*(A87^3)/12)))</f>
        <v>#DIV/0!</v>
      </c>
      <c r="T87" s="11"/>
      <c r="U87" s="11"/>
      <c r="V87" s="11"/>
      <c r="W87" s="99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.75">
      <c r="A88" s="210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1"/>
      <c r="M88" s="11"/>
      <c r="N88" s="14"/>
      <c r="O88" s="14"/>
      <c r="P88" s="14"/>
      <c r="Q88" s="14" t="e">
        <f>(E57/((E26+E33+E40)/A88*(E57/E64)+0.83*(E15/E57)^0.333-(E26+E33+E40)/A88))</f>
        <v>#DIV/0!</v>
      </c>
      <c r="R88" s="14" t="e">
        <f>(((E15*(A88^3))/(12*(10^-3)*P88)))^0.25</f>
        <v>#DIV/0!</v>
      </c>
      <c r="S88" s="11" t="e">
        <f>(0.8*E15*1*1000*(A88^3)/12)/(0.8*T88*10^9+(E15*(1*1000*(A88^3)/12)))</f>
        <v>#DIV/0!</v>
      </c>
      <c r="T88" s="11"/>
      <c r="U88" s="11"/>
      <c r="V88" s="11"/>
      <c r="W88" s="99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2.75">
      <c r="A89" s="210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1"/>
      <c r="M89" s="11"/>
      <c r="N89" s="14"/>
      <c r="O89" s="14"/>
      <c r="P89" s="14"/>
      <c r="Q89" s="14" t="e">
        <f>(E57/((E26+E33+E40)/A89*(E57/E64)+0.83*(E15/E57)^0.333-(E26+E33+E40)/A89))</f>
        <v>#DIV/0!</v>
      </c>
      <c r="R89" s="14" t="e">
        <f>(((E15*(A89^3))/(12*(10^-3)*P89)))^0.25</f>
        <v>#DIV/0!</v>
      </c>
      <c r="S89" s="11" t="e">
        <f>(0.8*E15*1*1000*(A89^3)/12)/(0.8*T89*10^9+(E15*(1*1000*(A89^3)/12)))</f>
        <v>#DIV/0!</v>
      </c>
      <c r="T89" s="11"/>
      <c r="U89" s="11"/>
      <c r="V89" s="11"/>
      <c r="W89" s="99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2.75">
      <c r="A90" s="210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1"/>
      <c r="M90" s="11"/>
      <c r="N90" s="14"/>
      <c r="O90" s="14"/>
      <c r="P90" s="14"/>
      <c r="Q90" s="14" t="e">
        <f>(E57/((E26+E33+E40)/A90*(E57/E64)+0.83*(E15/E57)^0.333-(E26+E33+E40)/A90))</f>
        <v>#DIV/0!</v>
      </c>
      <c r="R90" s="14" t="e">
        <f>(((E15*(A90^3))/(12*(10^-3)*P90)))^0.25</f>
        <v>#DIV/0!</v>
      </c>
      <c r="S90" s="11" t="e">
        <f>(0.8*E15*1*1000*(A90^3)/12)/(0.8*T90*10^9+(E15*(1*1000*(A90^3)/12)))</f>
        <v>#DIV/0!</v>
      </c>
      <c r="T90" s="11"/>
      <c r="U90" s="11"/>
      <c r="V90" s="11"/>
      <c r="W90" s="99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2.75">
      <c r="A91" s="21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1"/>
      <c r="M91" s="11"/>
      <c r="N91" s="14"/>
      <c r="O91" s="14"/>
      <c r="P91" s="14"/>
      <c r="Q91" s="14" t="e">
        <f>(E57/((E26+E33+E40)/A91*(E57/E64)+0.83*(E15/E57)^0.333-(E26+E33+E40)/A91))</f>
        <v>#DIV/0!</v>
      </c>
      <c r="R91" s="14" t="e">
        <f>(((E15*(A91^3))/(12*(10^-3)*P91)))^0.25</f>
        <v>#DIV/0!</v>
      </c>
      <c r="S91" s="11" t="e">
        <f>(0.8*E15*1*1000*(A91^3)/12)/(0.8*T91*10^9+(E15*(1*1000*(A91^3)/12)))</f>
        <v>#DIV/0!</v>
      </c>
      <c r="T91" s="11"/>
      <c r="U91" s="11"/>
      <c r="V91" s="11"/>
      <c r="W91" s="99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2.75">
      <c r="A92" s="210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1"/>
      <c r="M92" s="11"/>
      <c r="N92" s="14"/>
      <c r="O92" s="14"/>
      <c r="P92" s="14"/>
      <c r="Q92" s="14" t="e">
        <f>(E57/((E26+E33+E40)/A92*(E57/E64)+0.83*(E15/E57)^0.333-(E26+E33+E40)/A92))</f>
        <v>#DIV/0!</v>
      </c>
      <c r="R92" s="14" t="e">
        <f>(((E15*(A92^3))/(12*(10^-3)*P92)))^0.25</f>
        <v>#DIV/0!</v>
      </c>
      <c r="S92" s="11" t="e">
        <f>(0.8*E15*1*1000*(A92^3)/12)/(0.8*T92*10^9+(E15*(1*1000*(A92^3)/12)))</f>
        <v>#DIV/0!</v>
      </c>
      <c r="T92" s="11"/>
      <c r="U92" s="11"/>
      <c r="V92" s="11"/>
      <c r="W92" s="99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2.75">
      <c r="A93" s="210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1"/>
      <c r="M93" s="11"/>
      <c r="N93" s="14"/>
      <c r="O93" s="14"/>
      <c r="P93" s="14"/>
      <c r="Q93" s="14" t="e">
        <f>(E57/((E26+E33+E40)/A93*(E57/E64)+0.83*(E15/E57)^0.333-(E26+E33+E40)/A93))</f>
        <v>#DIV/0!</v>
      </c>
      <c r="R93" s="14" t="e">
        <f>(((E15*(A93^3))/(12*(10^-3)*P93)))^0.25</f>
        <v>#DIV/0!</v>
      </c>
      <c r="S93" s="11" t="e">
        <f>(0.8*E15*1*1000*(A93^3)/12)/(0.8*T93*10^9+(E15*(1*1000*(A93^3)/12)))</f>
        <v>#DIV/0!</v>
      </c>
      <c r="T93" s="11"/>
      <c r="U93" s="11"/>
      <c r="V93" s="11"/>
      <c r="W93" s="99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.75">
      <c r="A94" s="210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1"/>
      <c r="N94" s="14"/>
      <c r="O94" s="14"/>
      <c r="P94" s="14"/>
      <c r="Q94" s="14" t="e">
        <f>(E57/((E26+E33+E40)/A94*(E57/E64)+0.83*(E15/E57)^0.333-(E26+E33+E40)/A94))</f>
        <v>#DIV/0!</v>
      </c>
      <c r="R94" s="14" t="e">
        <f>(((E15*(A94^3))/(12*(10^-3)*P94)))^0.25</f>
        <v>#DIV/0!</v>
      </c>
      <c r="S94" s="11" t="e">
        <f>(0.8*E15*1*1000*(A94^3)/12)/(0.8*T94*10^9+(E15*(1*1000*(A94^3)/12)))</f>
        <v>#DIV/0!</v>
      </c>
      <c r="T94" s="11"/>
      <c r="U94" s="11"/>
      <c r="V94" s="11"/>
      <c r="W94" s="99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.75">
      <c r="A95" s="210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1"/>
      <c r="M95" s="11"/>
      <c r="N95" s="14"/>
      <c r="O95" s="14"/>
      <c r="P95" s="14"/>
      <c r="Q95" s="14" t="e">
        <f>(E57/((E26+E33+E40)/A95*(E57/E64)+0.83*(E15/E57)^0.333-(E26+E33+E40)/A95))</f>
        <v>#DIV/0!</v>
      </c>
      <c r="R95" s="14" t="e">
        <f>(((E15*(A95^3))/(12*(10^-3)*P95)))^0.25</f>
        <v>#DIV/0!</v>
      </c>
      <c r="S95" s="11" t="e">
        <f>(0.8*E15*1*1000*(A95^3)/12)/(0.8*T95*10^9+(E15*(1*1000*(A95^3)/12)))</f>
        <v>#DIV/0!</v>
      </c>
      <c r="T95" s="11"/>
      <c r="U95" s="11"/>
      <c r="V95" s="11"/>
      <c r="W95" s="99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2.75">
      <c r="A96" s="210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1"/>
      <c r="M96" s="11"/>
      <c r="N96" s="14"/>
      <c r="O96" s="14"/>
      <c r="P96" s="14"/>
      <c r="Q96" s="14" t="e">
        <f>(E57/((E26+E33+E40)/A96*(E57/E64)+0.83*(E15/E57)^0.333-(E26+E33+E40)/A96))</f>
        <v>#DIV/0!</v>
      </c>
      <c r="R96" s="14" t="e">
        <f>(((E15*(A96^3))/(12*(10^-3)*P96)))^0.25</f>
        <v>#DIV/0!</v>
      </c>
      <c r="S96" s="11" t="e">
        <f>(0.8*E15*1*1000*(A96^3)/12)/(0.8*T96*10^9+(E15*(1*1000*(A96^3)/12)))</f>
        <v>#DIV/0!</v>
      </c>
      <c r="T96" s="11"/>
      <c r="U96" s="11"/>
      <c r="V96" s="11"/>
      <c r="W96" s="99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2.75">
      <c r="A97" s="210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1"/>
      <c r="M97" s="11"/>
      <c r="N97" s="14"/>
      <c r="O97" s="14"/>
      <c r="P97" s="14"/>
      <c r="Q97" s="14" t="e">
        <f>(E57/((E26+E33+E40)/A97*(E57/E64)+0.83*(E15/E57)^0.333-(E26+E33+E40)/A97))</f>
        <v>#DIV/0!</v>
      </c>
      <c r="R97" s="14" t="e">
        <f>(((E15*(A97^3))/(12*(10^-3)*P97)))^0.25</f>
        <v>#DIV/0!</v>
      </c>
      <c r="S97" s="11" t="e">
        <f>(0.8*E15*1*1000*(A97^3)/12)/(0.8*T97*10^9+(E15*(1*1000*(A97^3)/12)))</f>
        <v>#DIV/0!</v>
      </c>
      <c r="T97" s="11"/>
      <c r="U97" s="11"/>
      <c r="V97" s="11"/>
      <c r="W97" s="99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.75">
      <c r="A98" s="210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1"/>
      <c r="M98" s="11"/>
      <c r="N98" s="14"/>
      <c r="O98" s="14"/>
      <c r="P98" s="14"/>
      <c r="Q98" s="14" t="e">
        <f>(E57/((E26+E33+E40)/A98*(E57/E64)+0.83*(E15/E57)^0.333-(E26+E33+E40)/A98))</f>
        <v>#DIV/0!</v>
      </c>
      <c r="R98" s="14" t="e">
        <f>(((E15*(A98^3))/(12*(10^-3)*P98)))^0.25</f>
        <v>#DIV/0!</v>
      </c>
      <c r="S98" s="11" t="e">
        <f>(0.8*E15*1*1000*(A98^3)/12)/(0.8*T98*10^9+(E15*(1*1000*(A98^3)/12)))</f>
        <v>#DIV/0!</v>
      </c>
      <c r="T98" s="11"/>
      <c r="U98" s="11"/>
      <c r="V98" s="11"/>
      <c r="W98" s="99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.75">
      <c r="A99" s="210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1"/>
      <c r="M99" s="11"/>
      <c r="N99" s="14"/>
      <c r="O99" s="14"/>
      <c r="P99" s="14"/>
      <c r="Q99" s="14" t="e">
        <f>(E57/((E26+E33+E40)/A99*(E57/E64)+0.83*(E15/E57)^0.333-(E26+E33+E40)/A99))</f>
        <v>#DIV/0!</v>
      </c>
      <c r="R99" s="14" t="e">
        <f>(((E15*(A99^3))/(12*(10^-3)*P99)))^0.25</f>
        <v>#DIV/0!</v>
      </c>
      <c r="S99" s="11" t="e">
        <f>(0.8*E15*1*1000*(A99^3)/12)/(0.8*T99*10^9+(E15*(1*1000*(A99^3)/12)))</f>
        <v>#DIV/0!</v>
      </c>
      <c r="T99" s="11"/>
      <c r="U99" s="11"/>
      <c r="V99" s="11"/>
      <c r="W99" s="99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2.75">
      <c r="A100" s="210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1"/>
      <c r="M100" s="11"/>
      <c r="N100" s="14"/>
      <c r="O100" s="14"/>
      <c r="P100" s="14"/>
      <c r="Q100" s="14" t="e">
        <f>(E57/((E26+E33+E40)/A100*(E57/E64)+0.83*(E15/E57)^0.333-(E26+E33+E40)/A100))</f>
        <v>#DIV/0!</v>
      </c>
      <c r="R100" s="14" t="e">
        <f>(((E15*(A100^3))/(12*(10^-3)*P100)))^0.25</f>
        <v>#DIV/0!</v>
      </c>
      <c r="S100" s="11" t="e">
        <f>(0.8*E15*1*1000*(A100^3)/12)/(0.8*T100*10^9+(E15*(1*1000*(A100^3)/12)))</f>
        <v>#DIV/0!</v>
      </c>
      <c r="T100" s="11"/>
      <c r="U100" s="11"/>
      <c r="V100" s="11"/>
      <c r="W100" s="99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2.75">
      <c r="A101" s="210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1"/>
      <c r="M101" s="11"/>
      <c r="N101" s="14"/>
      <c r="O101" s="14"/>
      <c r="P101" s="14"/>
      <c r="Q101" s="14" t="e">
        <f>(E57/((E26+E33+E40)/A101*(E57/E64)+0.83*(E15/E57)^0.333-(E26+E33+E40)/A101))</f>
        <v>#DIV/0!</v>
      </c>
      <c r="R101" s="14" t="e">
        <f>(((E15*(A101^3))/(12*(10^-3)*P101)))^0.25</f>
        <v>#DIV/0!</v>
      </c>
      <c r="S101" s="11" t="e">
        <f>(0.8*E15*1*1000*(A101^3)/12)/(0.8*T101*10^9+(E15*(1*1000*(A101^3)/12)))</f>
        <v>#DIV/0!</v>
      </c>
      <c r="T101" s="11"/>
      <c r="U101" s="11"/>
      <c r="V101" s="11"/>
      <c r="W101" s="99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.75">
      <c r="A102" s="2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1"/>
      <c r="N102" s="14"/>
      <c r="O102" s="14"/>
      <c r="P102" s="14"/>
      <c r="Q102" s="14" t="e">
        <f>(E57/((E26+E33+E40)/A102*(E57/E64)+0.83*(E15/E57)^0.333-(E26+E33+E40)/A102))</f>
        <v>#DIV/0!</v>
      </c>
      <c r="R102" s="14" t="e">
        <f>(((E15*(A102^3))/(12*(10^-3)*P102)))^0.25</f>
        <v>#DIV/0!</v>
      </c>
      <c r="S102" s="11" t="e">
        <f>(0.8*E15*1*1000*(A102^3)/12)/(0.8*T102*10^9+(E15*(1*1000*(A102^3)/12)))</f>
        <v>#DIV/0!</v>
      </c>
      <c r="T102" s="11"/>
      <c r="U102" s="11"/>
      <c r="V102" s="11"/>
      <c r="W102" s="99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.75">
      <c r="A103" s="210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1"/>
      <c r="M103" s="11"/>
      <c r="N103" s="14"/>
      <c r="O103" s="14"/>
      <c r="P103" s="14"/>
      <c r="Q103" s="14" t="e">
        <f>(E57/((E26+E33+E40)/A103*(E57/E64)+0.83*(E15/E57)^0.333-(E26+E33+E40)/A103))</f>
        <v>#DIV/0!</v>
      </c>
      <c r="R103" s="14" t="e">
        <f>(((E15*(A103^3))/(12*(10^-3)*P103)))^0.25</f>
        <v>#DIV/0!</v>
      </c>
      <c r="S103" s="11" t="e">
        <f>(0.8*E15*1*1000*(A103^3)/12)/(0.8*T103*10^9+(E15*(1*1000*(A103^3)/12)))</f>
        <v>#DIV/0!</v>
      </c>
      <c r="T103" s="11"/>
      <c r="U103" s="11"/>
      <c r="V103" s="11"/>
      <c r="W103" s="99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2.75">
      <c r="A104" s="210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1"/>
      <c r="M104" s="11"/>
      <c r="N104" s="14"/>
      <c r="O104" s="14"/>
      <c r="P104" s="14"/>
      <c r="Q104" s="14" t="e">
        <f>(E57/((E26+E33+E40)/A104*(E57/E64)+0.83*(E15/E57)^0.333-(E26+E33+E40)/A104))</f>
        <v>#DIV/0!</v>
      </c>
      <c r="R104" s="14" t="e">
        <f>(((E15*(A104^3))/(12*(10^-3)*P104)))^0.25</f>
        <v>#DIV/0!</v>
      </c>
      <c r="S104" s="11" t="e">
        <f>(0.8*E15*1*1000*(A104^3)/12)/(0.8*T104*10^9+(E15*(1*1000*(A104^3)/12)))</f>
        <v>#DIV/0!</v>
      </c>
      <c r="T104" s="11"/>
      <c r="U104" s="11"/>
      <c r="V104" s="11"/>
      <c r="W104" s="99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2.75">
      <c r="A105" s="10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1"/>
      <c r="M105" s="11"/>
      <c r="N105" s="14"/>
      <c r="O105" s="14"/>
      <c r="P105" s="14"/>
      <c r="Q105" s="14" t="e">
        <f>(E57/((E26+E33+E40)/A105*(E57/E64)+0.83*(E15/E57)^0.333-(E26+E33+E40)/A105))</f>
        <v>#DIV/0!</v>
      </c>
      <c r="R105" s="14" t="e">
        <f>(((E15*(A105^3))/(12*(10^-3)*P105)))^0.25</f>
        <v>#DIV/0!</v>
      </c>
      <c r="S105" s="11" t="e">
        <f>((E15*10^3*(A105*10^-3)^3*0.08333)/(T105+(E15*10^3*(A105*10^-3)^3*0.08333)))</f>
        <v>#DIV/0!</v>
      </c>
      <c r="T105" s="11" t="e">
        <f>(D105*E51*300)/(36.7*V105)</f>
        <v>#DIV/0!</v>
      </c>
      <c r="U105" s="11" t="e">
        <f>(S105*E49*E51^2*6)/(10.5*(A105*10^-3)^2)</f>
        <v>#DIV/0!</v>
      </c>
      <c r="V105" s="11" t="e">
        <f>((1+(0.364*(E49+A105*10^-3*E53)*E51^2)/D105)^-1)</f>
        <v>#DIV/0!</v>
      </c>
      <c r="W105" s="99" t="e">
        <f>(E49*S105*E51^4)/(100.8*E15*10^3*(A105*10^-3)^3*0.08333)*10^3</f>
        <v>#DIV/0!</v>
      </c>
      <c r="X105" s="11" t="e">
        <f>(J105*E51^2)/(36.7*E15*10^3*(A105*10^-3)^3*0.08333)*10^3</f>
        <v>#DIV/0!</v>
      </c>
      <c r="Y105" s="11" t="e">
        <f>(J105/D105)*E105</f>
        <v>#DIV/0!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2.75">
      <c r="A106" s="217"/>
      <c r="B106" s="23"/>
      <c r="C106" s="23"/>
      <c r="D106" s="23"/>
      <c r="E106" s="23"/>
      <c r="F106" s="23"/>
      <c r="G106" s="14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11"/>
      <c r="T106" s="11"/>
      <c r="U106" s="11"/>
      <c r="V106" s="11"/>
      <c r="W106" s="215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.75">
      <c r="A107" s="210"/>
      <c r="B107" s="11"/>
      <c r="C107" s="11"/>
      <c r="D107" s="11"/>
      <c r="E107" s="11"/>
      <c r="F107" s="11"/>
      <c r="G107" s="11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15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.75">
      <c r="A108" s="2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3.5">
      <c r="A109" s="210"/>
      <c r="B109" s="8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88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3.5">
      <c r="A110" s="210"/>
      <c r="B110" s="28"/>
      <c r="C110" s="28"/>
      <c r="D110" s="28"/>
      <c r="E110" s="28"/>
      <c r="F110" s="89"/>
      <c r="G110" s="90"/>
      <c r="H110" s="11"/>
      <c r="I110" s="11"/>
      <c r="J110" s="11"/>
      <c r="K110" s="11"/>
      <c r="L110" s="11"/>
      <c r="M110" s="11"/>
      <c r="N110" s="28"/>
      <c r="O110" s="28"/>
      <c r="P110" s="28"/>
      <c r="Q110" s="28"/>
      <c r="R110" s="89" t="s">
        <v>32</v>
      </c>
      <c r="S110" s="9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>
      <c r="A111" s="210"/>
      <c r="B111" s="11"/>
      <c r="C111" s="14"/>
      <c r="D111" s="11"/>
      <c r="E111" s="14"/>
      <c r="F111" s="14"/>
      <c r="G111" s="14"/>
      <c r="H111" s="11"/>
      <c r="I111" s="11"/>
      <c r="J111" s="11"/>
      <c r="K111" s="11"/>
      <c r="L111" s="11"/>
      <c r="M111" s="11"/>
      <c r="N111" s="21"/>
      <c r="O111" s="90"/>
      <c r="P111" s="21"/>
      <c r="Q111" s="90" t="s">
        <v>21</v>
      </c>
      <c r="R111" s="90" t="s">
        <v>33</v>
      </c>
      <c r="S111" s="90" t="s">
        <v>34</v>
      </c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>
      <c r="A112" s="210"/>
      <c r="B112" s="14"/>
      <c r="C112" s="14"/>
      <c r="D112" s="14"/>
      <c r="E112" s="14"/>
      <c r="F112" s="14"/>
      <c r="G112" s="14"/>
      <c r="H112" s="11"/>
      <c r="I112" s="11"/>
      <c r="J112" s="11"/>
      <c r="K112" s="11"/>
      <c r="L112" s="11"/>
      <c r="M112" s="11"/>
      <c r="N112" s="14"/>
      <c r="O112" s="14"/>
      <c r="P112" s="14"/>
      <c r="Q112" s="14" t="s">
        <v>18</v>
      </c>
      <c r="R112" s="14" t="s">
        <v>19</v>
      </c>
      <c r="S112" s="14" t="s">
        <v>18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>
      <c r="A113" s="210"/>
      <c r="B113" s="14"/>
      <c r="C113" s="14"/>
      <c r="D113" s="14"/>
      <c r="E113" s="14"/>
      <c r="F113" s="14"/>
      <c r="G113" s="11"/>
      <c r="H113" s="11"/>
      <c r="I113" s="11"/>
      <c r="J113" s="11"/>
      <c r="K113" s="11"/>
      <c r="L113" s="11"/>
      <c r="M113" s="11"/>
      <c r="N113" s="14"/>
      <c r="O113" s="14"/>
      <c r="P113" s="14"/>
      <c r="Q113" s="14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>
      <c r="A114" s="210"/>
      <c r="B114" s="14"/>
      <c r="C114" s="14"/>
      <c r="D114" s="14"/>
      <c r="E114" s="14"/>
      <c r="F114" s="14"/>
      <c r="G114" s="14"/>
      <c r="H114" s="11"/>
      <c r="I114" s="11"/>
      <c r="J114" s="11"/>
      <c r="K114" s="11"/>
      <c r="L114" s="11"/>
      <c r="M114" s="11"/>
      <c r="N114" s="14"/>
      <c r="O114" s="14"/>
      <c r="P114" s="14"/>
      <c r="Q114" s="14" t="e">
        <f>ROUND((P114/N114)*C114,2)</f>
        <v>#DIV/0!</v>
      </c>
      <c r="R114" s="14">
        <f>ROUND((0.66663*(0.75*(E15/30000))*A80*6.28318*((E55/3.14159)^0.5+A80)*0.5+(E55*E43))*10^-3,2)</f>
        <v>0</v>
      </c>
      <c r="S114" s="14" t="e">
        <f>ROUND((R114/N114)*O114,2)</f>
        <v>#DIV/0!</v>
      </c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>
      <c r="A115" s="11"/>
      <c r="B115" s="14"/>
      <c r="C115" s="14"/>
      <c r="D115" s="14"/>
      <c r="E115" s="14"/>
      <c r="F115" s="14"/>
      <c r="G115" s="14"/>
      <c r="H115" s="11"/>
      <c r="I115" s="11"/>
      <c r="J115" s="11"/>
      <c r="K115" s="11"/>
      <c r="L115" s="11"/>
      <c r="M115" s="11"/>
      <c r="N115" s="14"/>
      <c r="O115" s="14"/>
      <c r="P115" s="14"/>
      <c r="Q115" s="14" t="e">
        <f aca="true" t="shared" si="0" ref="Q115:Q137">ROUND((P115/N115)*C115,2)</f>
        <v>#DIV/0!</v>
      </c>
      <c r="R115" s="14">
        <f>ROUND((0.66663*(0.75*(E15/30000))*A81*6.28318*((E55/3.14159)^0.5+A81)*0.5+(E55*E43))*10^-3,2)</f>
        <v>0</v>
      </c>
      <c r="S115" s="14" t="e">
        <f aca="true" t="shared" si="1" ref="S115:S137">ROUND((R115/N115)*O115,2)</f>
        <v>#DIV/0!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>
      <c r="A116" s="11"/>
      <c r="B116" s="14"/>
      <c r="C116" s="14"/>
      <c r="D116" s="14"/>
      <c r="E116" s="14"/>
      <c r="F116" s="14"/>
      <c r="G116" s="14"/>
      <c r="H116" s="11"/>
      <c r="I116" s="11"/>
      <c r="J116" s="11"/>
      <c r="K116" s="11"/>
      <c r="L116" s="11"/>
      <c r="M116" s="11"/>
      <c r="N116" s="14"/>
      <c r="O116" s="14"/>
      <c r="P116" s="14"/>
      <c r="Q116" s="14" t="e">
        <f t="shared" si="0"/>
        <v>#DIV/0!</v>
      </c>
      <c r="R116" s="14">
        <f>ROUND((0.66663*(0.75*(E15/30000))*A82*6.28318*((E55/3.14159)^0.5+A82)*0.5+(E55*E43))*10^-3,2)</f>
        <v>0</v>
      </c>
      <c r="S116" s="14" t="e">
        <f t="shared" si="1"/>
        <v>#DIV/0!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>
      <c r="A117" s="11"/>
      <c r="B117" s="14"/>
      <c r="C117" s="14"/>
      <c r="D117" s="14"/>
      <c r="E117" s="14"/>
      <c r="F117" s="14"/>
      <c r="G117" s="14"/>
      <c r="H117" s="11"/>
      <c r="I117" s="11"/>
      <c r="J117" s="11"/>
      <c r="K117" s="11"/>
      <c r="L117" s="11"/>
      <c r="M117" s="11"/>
      <c r="N117" s="14"/>
      <c r="O117" s="14"/>
      <c r="P117" s="14"/>
      <c r="Q117" s="14" t="e">
        <f t="shared" si="0"/>
        <v>#DIV/0!</v>
      </c>
      <c r="R117" s="14">
        <f>ROUND((0.66663*(0.75*(E15/30000))*A83*6.28318*((E55/3.14159)^0.5+A83)*0.5+(E55*E43))*10^-3,2)</f>
        <v>0</v>
      </c>
      <c r="S117" s="14" t="e">
        <f t="shared" si="1"/>
        <v>#DIV/0!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>
      <c r="A118" s="11"/>
      <c r="B118" s="14"/>
      <c r="C118" s="14"/>
      <c r="D118" s="14"/>
      <c r="E118" s="14"/>
      <c r="F118" s="14"/>
      <c r="G118" s="14"/>
      <c r="H118" s="11"/>
      <c r="I118" s="11"/>
      <c r="J118" s="11"/>
      <c r="K118" s="11"/>
      <c r="L118" s="11"/>
      <c r="M118" s="11"/>
      <c r="N118" s="14"/>
      <c r="O118" s="14"/>
      <c r="P118" s="14"/>
      <c r="Q118" s="14" t="e">
        <f t="shared" si="0"/>
        <v>#DIV/0!</v>
      </c>
      <c r="R118" s="14">
        <f>ROUND((0.66663*(0.75*(E15/30000))*A84*6.28318*((E55/3.14159)^0.5+A84)*0.5+(E55*E43))*10^-3,2)</f>
        <v>0</v>
      </c>
      <c r="S118" s="14" t="e">
        <f t="shared" si="1"/>
        <v>#DIV/0!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>
      <c r="A119" s="11"/>
      <c r="B119" s="14"/>
      <c r="C119" s="14"/>
      <c r="D119" s="14"/>
      <c r="E119" s="14"/>
      <c r="F119" s="14"/>
      <c r="G119" s="14"/>
      <c r="H119" s="11"/>
      <c r="I119" s="11"/>
      <c r="J119" s="11"/>
      <c r="K119" s="11"/>
      <c r="L119" s="11"/>
      <c r="M119" s="11"/>
      <c r="N119" s="14"/>
      <c r="O119" s="14"/>
      <c r="P119" s="14"/>
      <c r="Q119" s="14" t="e">
        <f t="shared" si="0"/>
        <v>#DIV/0!</v>
      </c>
      <c r="R119" s="14">
        <f>ROUND((0.66663*(0.75*(E15/30000))*A85*6.28318*((E55/3.14159)^0.5+A85)*0.5+(E55*E43))*10^-3,2)</f>
        <v>0</v>
      </c>
      <c r="S119" s="14" t="e">
        <f t="shared" si="1"/>
        <v>#DIV/0!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>
      <c r="A120" s="11"/>
      <c r="B120" s="14"/>
      <c r="C120" s="14"/>
      <c r="D120" s="14"/>
      <c r="E120" s="14"/>
      <c r="F120" s="14"/>
      <c r="G120" s="14"/>
      <c r="H120" s="11"/>
      <c r="I120" s="11"/>
      <c r="J120" s="11"/>
      <c r="K120" s="11"/>
      <c r="L120" s="11"/>
      <c r="M120" s="11"/>
      <c r="N120" s="14"/>
      <c r="O120" s="14"/>
      <c r="P120" s="14"/>
      <c r="Q120" s="14" t="e">
        <f t="shared" si="0"/>
        <v>#DIV/0!</v>
      </c>
      <c r="R120" s="14">
        <f>ROUND((0.66663*(0.75*(E15/30000))*A86*6.28318*((E55/3.14159)^0.5+A86)*0.5+(E55*E43))*10^-3,2)</f>
        <v>0</v>
      </c>
      <c r="S120" s="14" t="e">
        <f t="shared" si="1"/>
        <v>#DIV/0!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>
      <c r="A121" s="11"/>
      <c r="B121" s="14"/>
      <c r="C121" s="14"/>
      <c r="D121" s="14"/>
      <c r="E121" s="14"/>
      <c r="F121" s="14"/>
      <c r="G121" s="14"/>
      <c r="H121" s="11"/>
      <c r="I121" s="11"/>
      <c r="J121" s="11"/>
      <c r="K121" s="11"/>
      <c r="L121" s="11"/>
      <c r="M121" s="11"/>
      <c r="N121" s="14"/>
      <c r="O121" s="14"/>
      <c r="P121" s="14"/>
      <c r="Q121" s="14" t="e">
        <f t="shared" si="0"/>
        <v>#DIV/0!</v>
      </c>
      <c r="R121" s="14">
        <f>ROUND((0.66663*(0.75*(E15/30000))*A87*6.28318*((E55/3.14159)^0.5+A87)*0.5+(E55*E43))*10^-3,2)</f>
        <v>0</v>
      </c>
      <c r="S121" s="14" t="e">
        <f t="shared" si="1"/>
        <v>#DIV/0!</v>
      </c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>
      <c r="A122" s="11"/>
      <c r="B122" s="14"/>
      <c r="C122" s="14"/>
      <c r="D122" s="14"/>
      <c r="E122" s="14"/>
      <c r="F122" s="14"/>
      <c r="G122" s="14"/>
      <c r="H122" s="11"/>
      <c r="I122" s="11"/>
      <c r="J122" s="11"/>
      <c r="K122" s="11"/>
      <c r="L122" s="11"/>
      <c r="M122" s="11"/>
      <c r="N122" s="14"/>
      <c r="O122" s="14"/>
      <c r="P122" s="14"/>
      <c r="Q122" s="14" t="e">
        <f t="shared" si="0"/>
        <v>#DIV/0!</v>
      </c>
      <c r="R122" s="14">
        <f>ROUND((0.66663*(0.75*(E15/30000))*A88*6.28318*((E55/3.14159)^0.5+A88)*0.5+(E55*E43))*10^-3,2)</f>
        <v>0</v>
      </c>
      <c r="S122" s="14" t="e">
        <f t="shared" si="1"/>
        <v>#DIV/0!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>
      <c r="A123" s="11"/>
      <c r="B123" s="14"/>
      <c r="C123" s="14"/>
      <c r="D123" s="14"/>
      <c r="E123" s="14"/>
      <c r="F123" s="14"/>
      <c r="G123" s="14"/>
      <c r="H123" s="11"/>
      <c r="I123" s="11"/>
      <c r="J123" s="11"/>
      <c r="K123" s="11"/>
      <c r="L123" s="11"/>
      <c r="M123" s="11"/>
      <c r="N123" s="14"/>
      <c r="O123" s="14"/>
      <c r="P123" s="14"/>
      <c r="Q123" s="14" t="e">
        <f t="shared" si="0"/>
        <v>#DIV/0!</v>
      </c>
      <c r="R123" s="14">
        <f>ROUND((0.66663*(0.75*(E15/30000))*A89*6.28318*((E55/3.14159)^0.5+A89)*0.5+(E55*E43))*10^-3,2)</f>
        <v>0</v>
      </c>
      <c r="S123" s="14" t="e">
        <f t="shared" si="1"/>
        <v>#DIV/0!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>
      <c r="A124" s="11"/>
      <c r="B124" s="14"/>
      <c r="C124" s="14"/>
      <c r="D124" s="14"/>
      <c r="E124" s="14"/>
      <c r="F124" s="14"/>
      <c r="G124" s="14"/>
      <c r="H124" s="11"/>
      <c r="I124" s="11"/>
      <c r="J124" s="11"/>
      <c r="K124" s="11"/>
      <c r="L124" s="11"/>
      <c r="M124" s="11"/>
      <c r="N124" s="14"/>
      <c r="O124" s="14"/>
      <c r="P124" s="14"/>
      <c r="Q124" s="14" t="e">
        <f t="shared" si="0"/>
        <v>#DIV/0!</v>
      </c>
      <c r="R124" s="14">
        <f>ROUND((0.66663*(0.75*(E15/30000))*A90*6.28318*((E55/3.14159)^0.5+A90)*0.5+(E55*E43))*10^-3,2)</f>
        <v>0</v>
      </c>
      <c r="S124" s="14" t="e">
        <f t="shared" si="1"/>
        <v>#DIV/0!</v>
      </c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>
      <c r="A125" s="11"/>
      <c r="B125" s="14"/>
      <c r="C125" s="14"/>
      <c r="D125" s="14"/>
      <c r="E125" s="14"/>
      <c r="F125" s="14"/>
      <c r="G125" s="14"/>
      <c r="H125" s="11"/>
      <c r="I125" s="11"/>
      <c r="J125" s="11"/>
      <c r="K125" s="11"/>
      <c r="L125" s="11"/>
      <c r="M125" s="11"/>
      <c r="N125" s="14"/>
      <c r="O125" s="14"/>
      <c r="P125" s="14"/>
      <c r="Q125" s="14" t="e">
        <f t="shared" si="0"/>
        <v>#DIV/0!</v>
      </c>
      <c r="R125" s="14">
        <f>ROUND((0.66663*(0.75*(E15/30000))*A91*6.28318*((E55/3.14159)^0.5+A91)*0.5+(E55*E43))*10^-3,2)</f>
        <v>0</v>
      </c>
      <c r="S125" s="14" t="e">
        <f t="shared" si="1"/>
        <v>#DIV/0!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>
      <c r="A126" s="11"/>
      <c r="B126" s="14"/>
      <c r="C126" s="14"/>
      <c r="D126" s="14"/>
      <c r="E126" s="14"/>
      <c r="F126" s="14"/>
      <c r="G126" s="14"/>
      <c r="H126" s="11"/>
      <c r="I126" s="14"/>
      <c r="J126" s="11"/>
      <c r="K126" s="11"/>
      <c r="L126" s="11"/>
      <c r="M126" s="11"/>
      <c r="N126" s="14"/>
      <c r="O126" s="14"/>
      <c r="P126" s="14"/>
      <c r="Q126" s="14" t="e">
        <f t="shared" si="0"/>
        <v>#DIV/0!</v>
      </c>
      <c r="R126" s="14">
        <f>ROUND((0.66663*(0.75*(E15/30000))*A92*6.28318*((E55/3.14159)^0.5+A92)*0.5+(E55*E43))*10^-3,2)</f>
        <v>0</v>
      </c>
      <c r="S126" s="14" t="e">
        <f t="shared" si="1"/>
        <v>#DIV/0!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>
      <c r="A127" s="11"/>
      <c r="B127" s="14"/>
      <c r="C127" s="14"/>
      <c r="D127" s="14"/>
      <c r="E127" s="14"/>
      <c r="F127" s="14"/>
      <c r="G127" s="14"/>
      <c r="H127" s="11"/>
      <c r="I127" s="11"/>
      <c r="J127" s="11"/>
      <c r="K127" s="11"/>
      <c r="L127" s="11"/>
      <c r="M127" s="11"/>
      <c r="N127" s="14"/>
      <c r="O127" s="14"/>
      <c r="P127" s="14"/>
      <c r="Q127" s="14" t="e">
        <f t="shared" si="0"/>
        <v>#DIV/0!</v>
      </c>
      <c r="R127" s="14">
        <f>ROUND((0.66663*(0.75*(E15/30000))*A93*6.28318*((E55/3.14159)^0.5+A93)*0.5+(E55*E43))*10^-3,2)</f>
        <v>0</v>
      </c>
      <c r="S127" s="14" t="e">
        <f t="shared" si="1"/>
        <v>#DIV/0!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>
      <c r="A128" s="11"/>
      <c r="B128" s="14"/>
      <c r="C128" s="14"/>
      <c r="D128" s="14"/>
      <c r="E128" s="14"/>
      <c r="F128" s="14"/>
      <c r="G128" s="14"/>
      <c r="H128" s="11"/>
      <c r="I128" s="11"/>
      <c r="J128" s="11"/>
      <c r="K128" s="11"/>
      <c r="L128" s="11"/>
      <c r="M128" s="11"/>
      <c r="N128" s="14"/>
      <c r="O128" s="14"/>
      <c r="P128" s="14"/>
      <c r="Q128" s="14" t="e">
        <f t="shared" si="0"/>
        <v>#DIV/0!</v>
      </c>
      <c r="R128" s="14">
        <f>ROUND((0.66663*(0.75*(E15/30000))*A94*6.28318*((E55/3.14159)^0.5+A94)*0.5+(E55*E43))*10^-3,2)</f>
        <v>0</v>
      </c>
      <c r="S128" s="14" t="e">
        <f t="shared" si="1"/>
        <v>#DIV/0!</v>
      </c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>
      <c r="A129" s="11"/>
      <c r="B129" s="14"/>
      <c r="C129" s="14"/>
      <c r="D129" s="14"/>
      <c r="E129" s="14"/>
      <c r="F129" s="14"/>
      <c r="G129" s="14"/>
      <c r="H129" s="11"/>
      <c r="I129" s="11"/>
      <c r="J129" s="11"/>
      <c r="K129" s="11"/>
      <c r="L129" s="11"/>
      <c r="M129" s="11"/>
      <c r="N129" s="14"/>
      <c r="O129" s="14"/>
      <c r="P129" s="14"/>
      <c r="Q129" s="14" t="e">
        <f t="shared" si="0"/>
        <v>#DIV/0!</v>
      </c>
      <c r="R129" s="14">
        <f>ROUND((0.66663*(0.75*(E15/30000))*A95*6.28318*((E55/3.14159)^0.5+A95)*0.5+(E68*E43))*10^-3,2)</f>
        <v>0</v>
      </c>
      <c r="S129" s="14" t="e">
        <f t="shared" si="1"/>
        <v>#DIV/0!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>
      <c r="A130" s="11"/>
      <c r="B130" s="14"/>
      <c r="C130" s="14"/>
      <c r="D130" s="14"/>
      <c r="E130" s="14"/>
      <c r="F130" s="14"/>
      <c r="G130" s="14"/>
      <c r="H130" s="11"/>
      <c r="I130" s="11"/>
      <c r="J130" s="11"/>
      <c r="K130" s="11"/>
      <c r="L130" s="11"/>
      <c r="M130" s="11"/>
      <c r="N130" s="14"/>
      <c r="O130" s="14"/>
      <c r="P130" s="14"/>
      <c r="Q130" s="14" t="e">
        <f t="shared" si="0"/>
        <v>#DIV/0!</v>
      </c>
      <c r="R130" s="14">
        <f>ROUND((0.66663*(0.75*(E15/30000))*A96*6.28318*((E55/3.14159)^0.5+A96)*0.5+(E55*E43))*10^-3,2)</f>
        <v>0</v>
      </c>
      <c r="S130" s="14" t="e">
        <f t="shared" si="1"/>
        <v>#DIV/0!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>
      <c r="A131" s="11"/>
      <c r="B131" s="14"/>
      <c r="C131" s="14"/>
      <c r="D131" s="14"/>
      <c r="E131" s="14"/>
      <c r="F131" s="14"/>
      <c r="G131" s="14"/>
      <c r="H131" s="11"/>
      <c r="I131" s="11"/>
      <c r="J131" s="11"/>
      <c r="K131" s="11"/>
      <c r="L131" s="11"/>
      <c r="M131" s="11"/>
      <c r="N131" s="14"/>
      <c r="O131" s="14"/>
      <c r="P131" s="14"/>
      <c r="Q131" s="14" t="e">
        <f t="shared" si="0"/>
        <v>#DIV/0!</v>
      </c>
      <c r="R131" s="14">
        <f>ROUND((0.66663*(0.75*(E15/30000))*A97*6.28318*((E55/3.14159)^0.5+A97)*0.5+(E55*E43))*10^-3,2)</f>
        <v>0</v>
      </c>
      <c r="S131" s="14" t="e">
        <f t="shared" si="1"/>
        <v>#DIV/0!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>
      <c r="A132" s="11"/>
      <c r="B132" s="14"/>
      <c r="C132" s="14"/>
      <c r="D132" s="14"/>
      <c r="E132" s="14"/>
      <c r="F132" s="14"/>
      <c r="G132" s="14"/>
      <c r="H132" s="11"/>
      <c r="I132" s="11"/>
      <c r="J132" s="11"/>
      <c r="K132" s="11"/>
      <c r="L132" s="11"/>
      <c r="M132" s="11"/>
      <c r="N132" s="14"/>
      <c r="O132" s="14"/>
      <c r="P132" s="14"/>
      <c r="Q132" s="14" t="e">
        <f t="shared" si="0"/>
        <v>#DIV/0!</v>
      </c>
      <c r="R132" s="14">
        <f>ROUND((0.66663*(0.75*(E15/30000))*A98*6.28318*((E55/3.14159)^0.5+A98)*0.5+(E55*E43))*10^-3,2)</f>
        <v>0</v>
      </c>
      <c r="S132" s="14" t="e">
        <f t="shared" si="1"/>
        <v>#DIV/0!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>
      <c r="A133" s="11"/>
      <c r="B133" s="14"/>
      <c r="C133" s="14"/>
      <c r="D133" s="14"/>
      <c r="E133" s="14"/>
      <c r="F133" s="14"/>
      <c r="G133" s="14"/>
      <c r="H133" s="11"/>
      <c r="I133" s="11"/>
      <c r="J133" s="11"/>
      <c r="K133" s="11"/>
      <c r="L133" s="11"/>
      <c r="M133" s="11"/>
      <c r="N133" s="14"/>
      <c r="O133" s="14"/>
      <c r="P133" s="14"/>
      <c r="Q133" s="14" t="e">
        <f t="shared" si="0"/>
        <v>#DIV/0!</v>
      </c>
      <c r="R133" s="14">
        <f>ROUND((0.66663*(0.75*(E15/30000))*A99*6.28318*((E55/3.14159)^0.5+A99)*0.5+(E55*E43))*10^-3,2)</f>
        <v>0</v>
      </c>
      <c r="S133" s="14" t="e">
        <f t="shared" si="1"/>
        <v>#DIV/0!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>
      <c r="A134" s="11"/>
      <c r="B134" s="14"/>
      <c r="C134" s="14"/>
      <c r="D134" s="14"/>
      <c r="E134" s="14"/>
      <c r="F134" s="14"/>
      <c r="G134" s="14"/>
      <c r="H134" s="11"/>
      <c r="I134" s="11"/>
      <c r="J134" s="11"/>
      <c r="K134" s="11"/>
      <c r="L134" s="11"/>
      <c r="M134" s="11"/>
      <c r="N134" s="14"/>
      <c r="O134" s="14"/>
      <c r="P134" s="14"/>
      <c r="Q134" s="14" t="e">
        <f t="shared" si="0"/>
        <v>#DIV/0!</v>
      </c>
      <c r="R134" s="14">
        <f>ROUND((0.66663*(0.75*(E15/30000))*A100*6.28318*((E55/3.14159)^0.5+A100)*0.5+(E55*E43))*10^-3,2)</f>
        <v>0</v>
      </c>
      <c r="S134" s="14" t="e">
        <f t="shared" si="1"/>
        <v>#DIV/0!</v>
      </c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>
      <c r="A135" s="11"/>
      <c r="B135" s="14"/>
      <c r="C135" s="14"/>
      <c r="D135" s="14"/>
      <c r="E135" s="14"/>
      <c r="F135" s="14"/>
      <c r="G135" s="14"/>
      <c r="H135" s="11"/>
      <c r="I135" s="11"/>
      <c r="J135" s="11"/>
      <c r="K135" s="11"/>
      <c r="L135" s="11"/>
      <c r="M135" s="11"/>
      <c r="N135" s="14"/>
      <c r="O135" s="14"/>
      <c r="P135" s="14"/>
      <c r="Q135" s="14" t="e">
        <f t="shared" si="0"/>
        <v>#DIV/0!</v>
      </c>
      <c r="R135" s="14">
        <f>ROUND((0.66663*(0.75*(E15/30000))*A101*6.28318*((E55/3.14159)^0.5+A101)*0.5+(E55*E43))*10^-3,2)</f>
        <v>0</v>
      </c>
      <c r="S135" s="14" t="e">
        <f t="shared" si="1"/>
        <v>#DIV/0!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>
      <c r="A136" s="11"/>
      <c r="B136" s="14"/>
      <c r="C136" s="14"/>
      <c r="D136" s="14"/>
      <c r="E136" s="14"/>
      <c r="F136" s="14"/>
      <c r="G136" s="14"/>
      <c r="H136" s="11"/>
      <c r="I136" s="11"/>
      <c r="J136" s="11"/>
      <c r="K136" s="11"/>
      <c r="L136" s="11"/>
      <c r="M136" s="11"/>
      <c r="N136" s="14"/>
      <c r="O136" s="14"/>
      <c r="P136" s="14"/>
      <c r="Q136" s="14" t="e">
        <f t="shared" si="0"/>
        <v>#DIV/0!</v>
      </c>
      <c r="R136" s="14">
        <f>ROUND((0.66663*(0.75*(E15/30000))*A102*6.28318*((E55/3.14159)^0.5+A102)*0.5+(E55*E43))*10^-3,2)</f>
        <v>0</v>
      </c>
      <c r="S136" s="14" t="e">
        <f t="shared" si="1"/>
        <v>#DIV/0!</v>
      </c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>
      <c r="A137" s="11"/>
      <c r="B137" s="14"/>
      <c r="C137" s="14"/>
      <c r="D137" s="14"/>
      <c r="E137" s="14"/>
      <c r="F137" s="14"/>
      <c r="G137" s="14"/>
      <c r="H137" s="11"/>
      <c r="I137" s="11"/>
      <c r="J137" s="11"/>
      <c r="K137" s="11"/>
      <c r="L137" s="11"/>
      <c r="M137" s="11"/>
      <c r="N137" s="14"/>
      <c r="O137" s="14"/>
      <c r="P137" s="14"/>
      <c r="Q137" s="14" t="e">
        <f t="shared" si="0"/>
        <v>#DIV/0!</v>
      </c>
      <c r="R137" s="11">
        <f>ROUND((0.66663*(0.75*(E15/30000))*A103*6.28318*((E55/3.14159)^0.5+A103)*0.5+(E55*E43))*10^-3,2)</f>
        <v>0</v>
      </c>
      <c r="S137" s="14" t="e">
        <f t="shared" si="1"/>
        <v>#DIV/0!</v>
      </c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>
      <c r="A138" s="11"/>
      <c r="B138" s="14"/>
      <c r="C138" s="14"/>
      <c r="D138" s="14"/>
      <c r="E138" s="14"/>
      <c r="F138" s="11"/>
      <c r="G138" s="11"/>
      <c r="H138" s="11"/>
      <c r="I138" s="11"/>
      <c r="J138" s="11"/>
      <c r="K138" s="11"/>
      <c r="L138" s="11"/>
      <c r="M138" s="11"/>
      <c r="N138" s="14"/>
      <c r="O138" s="14"/>
      <c r="P138" s="14"/>
      <c r="Q138" s="14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  <row r="285" spans="1:43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</row>
    <row r="286" spans="1:4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</row>
    <row r="287" spans="1:4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</row>
    <row r="288" spans="1:4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</row>
    <row r="289" spans="1:4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</row>
    <row r="290" spans="1:4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</row>
    <row r="291" spans="1:4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</row>
    <row r="292" spans="1:4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</row>
    <row r="293" spans="1:4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</row>
    <row r="294" spans="1:4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</row>
    <row r="295" spans="1:4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</row>
    <row r="296" spans="1:4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</row>
    <row r="297" spans="1:4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</row>
    <row r="298" spans="1:4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1:4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</row>
    <row r="300" spans="1:4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</row>
    <row r="301" spans="1:4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</row>
    <row r="302" spans="1:4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</row>
    <row r="303" spans="1:4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</row>
    <row r="304" spans="1:4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</row>
    <row r="305" spans="1:4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</row>
    <row r="306" spans="1:4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</row>
    <row r="307" spans="1:4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</row>
    <row r="308" spans="1:4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</row>
    <row r="309" spans="1:4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</row>
    <row r="310" spans="1:4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</row>
    <row r="311" spans="1:4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</row>
    <row r="312" spans="1:4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</row>
    <row r="313" spans="1:4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</row>
    <row r="314" spans="1:4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</row>
    <row r="315" spans="1:4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</row>
    <row r="316" spans="1:4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</row>
    <row r="317" spans="1:4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</row>
    <row r="318" spans="1:4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</row>
    <row r="319" spans="1:4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</row>
    <row r="320" spans="1:4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</row>
    <row r="321" spans="1:4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</row>
    <row r="322" spans="1:4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</row>
    <row r="323" spans="1:4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1:4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</row>
    <row r="325" spans="1:4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</row>
    <row r="326" spans="1:4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</row>
    <row r="327" spans="1:4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</row>
    <row r="328" spans="1:4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</row>
    <row r="329" spans="1:4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</row>
    <row r="330" spans="1:4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</row>
    <row r="331" spans="1:4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</row>
    <row r="332" spans="1:4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</row>
    <row r="333" spans="1:4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</row>
    <row r="334" spans="1:4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</row>
    <row r="335" spans="1:4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</row>
    <row r="336" spans="1:4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</row>
    <row r="337" spans="1:4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</row>
    <row r="338" spans="1:4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</row>
    <row r="339" spans="1:4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1:4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1:4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1:4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</row>
    <row r="343" spans="1:4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</row>
    <row r="344" spans="1:4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</row>
    <row r="345" spans="1:4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</row>
    <row r="346" spans="1:4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</row>
    <row r="347" spans="1:4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</row>
    <row r="348" spans="1:4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</row>
    <row r="349" spans="1:4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</row>
    <row r="350" spans="1:4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</row>
    <row r="351" spans="1:4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</row>
    <row r="352" spans="1:4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</row>
    <row r="353" spans="1:43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</row>
    <row r="354" spans="1:4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</row>
    <row r="355" spans="1:43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</row>
    <row r="356" spans="1:43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</row>
    <row r="357" spans="1:43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</row>
    <row r="358" spans="1:43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</row>
    <row r="359" spans="1:43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</row>
    <row r="360" spans="1:43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</row>
    <row r="361" spans="1:43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</row>
    <row r="362" spans="1:43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</row>
    <row r="363" spans="1:43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</row>
    <row r="364" spans="1:43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</row>
    <row r="365" spans="1:43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</row>
    <row r="366" spans="1:43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</row>
    <row r="367" spans="1:43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</row>
    <row r="368" spans="1:43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</row>
    <row r="369" spans="1:43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</row>
    <row r="370" spans="1:43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</row>
    <row r="371" spans="1:43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</row>
    <row r="372" spans="1:43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</row>
    <row r="373" spans="1:43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</row>
    <row r="374" spans="1:43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</row>
    <row r="375" spans="1:43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</row>
    <row r="376" spans="1:43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</row>
    <row r="377" spans="1:43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</row>
    <row r="378" spans="1:43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</row>
    <row r="379" spans="1:43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</row>
    <row r="380" spans="1:43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</row>
    <row r="381" spans="1:43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</row>
    <row r="382" spans="1:43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</row>
    <row r="383" spans="1:43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</row>
    <row r="384" spans="1:43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</row>
    <row r="385" spans="1:43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</row>
    <row r="386" spans="1:43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</row>
    <row r="387" spans="1:43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</row>
    <row r="388" spans="1:43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</row>
    <row r="389" spans="1:43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</row>
    <row r="390" spans="1:43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</row>
    <row r="391" spans="1:43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</row>
    <row r="392" spans="1:43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</row>
    <row r="393" spans="1:43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</row>
    <row r="394" spans="1:43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</row>
    <row r="395" spans="1:43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</row>
    <row r="396" spans="1:43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</row>
    <row r="397" spans="1:43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</row>
    <row r="398" spans="1:43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</row>
    <row r="399" spans="1:43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</row>
    <row r="400" spans="1:43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</row>
    <row r="401" spans="1:43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</row>
    <row r="402" spans="1:43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</row>
    <row r="403" spans="1:43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</row>
    <row r="404" spans="1:43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</row>
    <row r="405" spans="1:43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</row>
    <row r="406" spans="1:43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</row>
    <row r="407" spans="1:43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</row>
    <row r="408" spans="1:43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</row>
    <row r="409" spans="1:43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</row>
    <row r="410" spans="1:43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</row>
    <row r="411" spans="1:43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</row>
    <row r="412" spans="1:43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</row>
    <row r="413" spans="1:43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</row>
    <row r="414" spans="1:43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</row>
    <row r="415" spans="1:43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</row>
    <row r="416" spans="1:43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</row>
    <row r="417" spans="1:43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</row>
    <row r="418" spans="1:43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</row>
    <row r="419" spans="1:43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</row>
    <row r="420" spans="1:43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</row>
    <row r="421" spans="1:43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</row>
    <row r="422" spans="1:43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</row>
    <row r="423" spans="1:43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</row>
    <row r="424" spans="1:43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</row>
    <row r="425" spans="1:43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</row>
    <row r="426" spans="1:43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Cellular Glass Engineering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Bangerter</dc:creator>
  <cp:keywords/>
  <dc:description/>
  <cp:lastModifiedBy>Heinz</cp:lastModifiedBy>
  <cp:lastPrinted>2012-06-25T16:41:15Z</cp:lastPrinted>
  <dcterms:created xsi:type="dcterms:W3CDTF">2012-05-28T08:46:55Z</dcterms:created>
  <dcterms:modified xsi:type="dcterms:W3CDTF">2017-10-18T10:15:43Z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